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namedSheetViews/namedSheetView1.xml" ContentType="application/vnd.ms-excel.namedsheetviews+xml"/>
  <Override PartName="/xl/namedSheetViews/namedSheetView2.xml" ContentType="application/vnd.ms-excel.namedsheetviews+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3"/>
  <workbookPr defaultThemeVersion="166925"/>
  <mc:AlternateContent xmlns:mc="http://schemas.openxmlformats.org/markup-compatibility/2006">
    <mc:Choice Requires="x15">
      <x15ac:absPath xmlns:x15ac="http://schemas.microsoft.com/office/spreadsheetml/2010/11/ac" url="https://fujitsu.sharepoint.com/teams/Global-0e2fb5ae/Shared Documents/General/FUJITSU-CONFIDENTIAL/プロジェクト運営/93_工程完了判定/03_要員教育（移管）/"/>
    </mc:Choice>
  </mc:AlternateContent>
  <xr:revisionPtr revIDLastSave="39699" documentId="13_ncr:1_{E0B0F286-C2F3-4597-96D1-577B36397422}" xr6:coauthVersionLast="47" xr6:coauthVersionMax="47" xr10:uidLastSave="{32EF2244-086F-41A0-A245-7D9F4465D9AB}"/>
  <bookViews>
    <workbookView xWindow="-110" yWindow="-110" windowWidth="19420" windowHeight="10420" tabRatio="706" firstSheet="3" activeTab="5" xr2:uid="{FAFECD5B-08EF-4B55-A499-70E3AC40D285}"/>
  </bookViews>
  <sheets>
    <sheet name="評価の考え方 (EN)" sheetId="9" r:id="rId1"/>
    <sheet name="評価の考え方" sheetId="8" r:id="rId2"/>
    <sheet name="ex. (EN)" sheetId="7" state="hidden" r:id="rId3"/>
    <sheet name="TeamA" sheetId="10" r:id="rId4"/>
    <sheet name="TeamB" sheetId="11" r:id="rId5"/>
    <sheet name="TeamC" sheetId="12" r:id="rId6"/>
    <sheet name="TeamD" sheetId="13" r:id="rId7"/>
    <sheet name="TeamE" sheetId="14" r:id="rId8"/>
    <sheet name="TeamF" sheetId="15" r:id="rId9"/>
    <sheet name="Summary" sheetId="16" r:id="rId10"/>
    <sheet name="TaskEndDay" sheetId="17" r:id="rId11"/>
    <sheet name="Final Eval Summary" sheetId="22" state="hidden" r:id="rId12"/>
    <sheet name="Released Members Pending Tasks" sheetId="18" r:id="rId13"/>
    <sheet name="TaskEndDay_TransitionPRJ" sheetId="21" r:id="rId14"/>
    <sheet name="Transfer PRJ(Kira,Gelo,Mcl)" sheetId="19" r:id="rId15"/>
    <sheet name="Summary_TransferPRJ" sheetId="23" r:id="rId16"/>
    <sheet name="Sheet1" sheetId="20" r:id="rId17"/>
  </sheets>
  <externalReferences>
    <externalReference r:id="rId18"/>
  </externalReferences>
  <definedNames>
    <definedName name="_xlnm._FilterDatabase" localSheetId="11" hidden="1">'Final Eval Summary'!$A$1:$E$29</definedName>
    <definedName name="_xlnm._FilterDatabase" localSheetId="12" hidden="1">'Released Members Pending Tasks'!$C$1:$C$44</definedName>
    <definedName name="_xlnm._FilterDatabase" localSheetId="9" hidden="1">Summary!$A$81:$AI$178</definedName>
    <definedName name="_xlnm._FilterDatabase" localSheetId="10" hidden="1">TaskEndDay!$A$3:$BW$100</definedName>
    <definedName name="_xlnm._FilterDatabase" localSheetId="13" hidden="1">TaskEndDay_TransitionPRJ!$A$3:$BU$100</definedName>
    <definedName name="_xlnm._FilterDatabase" localSheetId="3" hidden="1">TeamA!$B$9:$FJ$31</definedName>
    <definedName name="_xlnm._FilterDatabase" localSheetId="4" hidden="1">TeamB!$B$9:$FJ$31</definedName>
    <definedName name="_xlnm._FilterDatabase" localSheetId="5" hidden="1">TeamC!$B$9:$FJ$31</definedName>
    <definedName name="_xlnm._FilterDatabase" localSheetId="8" hidden="1">TeamF!$B$9:$FJ$31</definedName>
    <definedName name="_xlnm._FilterDatabase" localSheetId="14" hidden="1">'Transfer PRJ(Kira,Gelo,Mcl)'!$B$9:$FI$39</definedName>
    <definedName name="_xlnm._FilterDatabase" localSheetId="7" hidden="1">TeamE!$B$9:$FJ$31</definedName>
    <definedName name="_xlnm._FilterDatabase" localSheetId="6" hidden="1">TeamD!$B$9:$FJ$34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0" i="14" l="1"/>
  <c r="AK26" i="10"/>
  <c r="AJ22" i="14"/>
  <c r="F153" i="16"/>
  <c r="E153" i="16"/>
  <c r="C153" i="16"/>
  <c r="F154" i="16"/>
  <c r="E154" i="16"/>
  <c r="F155" i="16"/>
  <c r="E155" i="16"/>
  <c r="F143" i="16"/>
  <c r="E143" i="16"/>
  <c r="J37" i="23"/>
  <c r="D38" i="23"/>
  <c r="I38" i="23" s="1"/>
  <c r="D39" i="23"/>
  <c r="I39" i="23" s="1"/>
  <c r="D40" i="23"/>
  <c r="I40" i="23" s="1"/>
  <c r="D41" i="23"/>
  <c r="I41" i="23" s="1"/>
  <c r="D42" i="23"/>
  <c r="I42" i="23" s="1"/>
  <c r="D43" i="23"/>
  <c r="I43" i="23" s="1"/>
  <c r="D44" i="23"/>
  <c r="I44" i="23" s="1"/>
  <c r="D45" i="23"/>
  <c r="I45" i="23" s="1"/>
  <c r="D46" i="23"/>
  <c r="I46" i="23" s="1"/>
  <c r="D47" i="23"/>
  <c r="I47" i="23" s="1"/>
  <c r="D48" i="23"/>
  <c r="I48" i="23" s="1"/>
  <c r="D49" i="23"/>
  <c r="I49" i="23" s="1"/>
  <c r="D50" i="23"/>
  <c r="I50" i="23" s="1"/>
  <c r="D51" i="23"/>
  <c r="I51" i="23" s="1"/>
  <c r="D52" i="23"/>
  <c r="I52" i="23" s="1"/>
  <c r="D53" i="23"/>
  <c r="I53" i="23" s="1"/>
  <c r="D54" i="23"/>
  <c r="P54" i="23" s="1"/>
  <c r="D55" i="23"/>
  <c r="P55" i="23" s="1"/>
  <c r="D56" i="23"/>
  <c r="K56" i="23" s="1"/>
  <c r="D57" i="23"/>
  <c r="D58" i="23"/>
  <c r="D59" i="23"/>
  <c r="I59" i="23" s="1"/>
  <c r="D60" i="23"/>
  <c r="D61" i="23"/>
  <c r="I61" i="23" s="1"/>
  <c r="D62" i="23"/>
  <c r="I62" i="23" s="1"/>
  <c r="D37" i="23"/>
  <c r="N37" i="23" s="1"/>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37" i="23"/>
  <c r="FR10" i="11"/>
  <c r="FR12" i="11"/>
  <c r="FR13" i="11"/>
  <c r="FR14" i="11"/>
  <c r="FR15" i="11"/>
  <c r="FR16" i="11"/>
  <c r="FR17" i="11"/>
  <c r="FR18" i="11"/>
  <c r="FR19" i="11"/>
  <c r="FR20" i="11"/>
  <c r="FR21" i="11"/>
  <c r="FR22" i="11"/>
  <c r="FR23" i="11"/>
  <c r="FR24" i="11"/>
  <c r="FR25" i="11"/>
  <c r="FR26" i="11"/>
  <c r="FR27" i="11"/>
  <c r="FR28" i="11"/>
  <c r="FR11" i="11"/>
  <c r="FS15" i="12"/>
  <c r="FS24" i="12"/>
  <c r="FS25" i="12"/>
  <c r="FS26" i="12"/>
  <c r="FS10" i="12"/>
  <c r="FQ29" i="12"/>
  <c r="FR29" i="12"/>
  <c r="FQ30" i="12"/>
  <c r="FR30" i="12"/>
  <c r="FQ31" i="12"/>
  <c r="FR31" i="12"/>
  <c r="I158" i="17"/>
  <c r="E158" i="17"/>
  <c r="AI7" i="11" a="1"/>
  <c r="AI7" i="11"/>
  <c r="AH7" i="11" a="1"/>
  <c r="AH7" i="11"/>
  <c r="AI7" i="10"/>
  <c r="AH7" i="10"/>
  <c r="F161" i="17"/>
  <c r="F160" i="17"/>
  <c r="F159" i="17"/>
  <c r="F158" i="17"/>
  <c r="E159" i="17"/>
  <c r="E160" i="17"/>
  <c r="FN8" i="11"/>
  <c r="FM8" i="11"/>
  <c r="CF28" i="11"/>
  <c r="CC10" i="11"/>
  <c r="I161" i="17"/>
  <c r="E161" i="17"/>
  <c r="E162" i="17" s="1"/>
  <c r="I160" i="17"/>
  <c r="H160" i="17"/>
  <c r="H158" i="17"/>
  <c r="G25" i="17"/>
  <c r="F162" i="17" l="1"/>
  <c r="P62" i="23"/>
  <c r="P53" i="23"/>
  <c r="P46" i="23"/>
  <c r="P61" i="23"/>
  <c r="P45" i="23"/>
  <c r="J61" i="23"/>
  <c r="P40" i="23"/>
  <c r="P39" i="23"/>
  <c r="P38" i="23"/>
  <c r="I60" i="23"/>
  <c r="P48" i="23"/>
  <c r="J62" i="23"/>
  <c r="P56" i="23"/>
  <c r="P47" i="23"/>
  <c r="P44" i="23"/>
  <c r="P60" i="23"/>
  <c r="J60" i="23"/>
  <c r="P52" i="23"/>
  <c r="I37" i="23"/>
  <c r="O62" i="23"/>
  <c r="O61" i="23"/>
  <c r="O60" i="23"/>
  <c r="O59" i="23"/>
  <c r="O58" i="23"/>
  <c r="O57" i="23"/>
  <c r="O56" i="23"/>
  <c r="O55" i="23"/>
  <c r="O54" i="23"/>
  <c r="O53" i="23"/>
  <c r="O52" i="23"/>
  <c r="O51" i="23"/>
  <c r="O50" i="23"/>
  <c r="O49" i="23"/>
  <c r="O48" i="23"/>
  <c r="O47" i="23"/>
  <c r="O46" i="23"/>
  <c r="O45" i="23"/>
  <c r="O44" i="23"/>
  <c r="O43" i="23"/>
  <c r="O42" i="23"/>
  <c r="O41" i="23"/>
  <c r="O40" i="23"/>
  <c r="O39" i="23"/>
  <c r="O38" i="23"/>
  <c r="P58" i="23"/>
  <c r="P51" i="23"/>
  <c r="K37" i="23"/>
  <c r="N62" i="23"/>
  <c r="N61" i="23"/>
  <c r="N60" i="23"/>
  <c r="N59" i="23"/>
  <c r="N58" i="23"/>
  <c r="N57" i="23"/>
  <c r="N56" i="23"/>
  <c r="N55" i="23"/>
  <c r="N54" i="23"/>
  <c r="N53" i="23"/>
  <c r="N52" i="23"/>
  <c r="N51" i="23"/>
  <c r="N50" i="23"/>
  <c r="N49" i="23"/>
  <c r="N47" i="23"/>
  <c r="N45" i="23"/>
  <c r="N43" i="23"/>
  <c r="N42" i="23"/>
  <c r="N41" i="23"/>
  <c r="N40" i="23"/>
  <c r="N39" i="23"/>
  <c r="N38" i="23"/>
  <c r="P59" i="23"/>
  <c r="P41" i="23"/>
  <c r="L37" i="23"/>
  <c r="M62" i="23"/>
  <c r="M61" i="23"/>
  <c r="M60" i="23"/>
  <c r="M59" i="23"/>
  <c r="M58" i="23"/>
  <c r="M57" i="23"/>
  <c r="M56" i="23"/>
  <c r="M55" i="23"/>
  <c r="M54" i="23"/>
  <c r="M52" i="23"/>
  <c r="M51" i="23"/>
  <c r="M50" i="23"/>
  <c r="M49" i="23"/>
  <c r="M47" i="23"/>
  <c r="M45" i="23"/>
  <c r="M43" i="23"/>
  <c r="M42" i="23"/>
  <c r="M40" i="23"/>
  <c r="M39" i="23"/>
  <c r="M38" i="23"/>
  <c r="P50" i="23"/>
  <c r="M37" i="23"/>
  <c r="L58" i="23"/>
  <c r="L57" i="23"/>
  <c r="L56" i="23"/>
  <c r="L55" i="23"/>
  <c r="L54" i="23"/>
  <c r="L53" i="23"/>
  <c r="L49" i="23"/>
  <c r="L48" i="23"/>
  <c r="L46" i="23"/>
  <c r="L44" i="23"/>
  <c r="L41" i="23"/>
  <c r="P57" i="23"/>
  <c r="P49" i="23"/>
  <c r="P43" i="23"/>
  <c r="P42" i="23"/>
  <c r="K58" i="23"/>
  <c r="K57" i="23"/>
  <c r="K55" i="23"/>
  <c r="K54" i="23"/>
  <c r="K53" i="23"/>
  <c r="K48" i="23"/>
  <c r="K46" i="23"/>
  <c r="K44" i="23"/>
  <c r="K41" i="23"/>
  <c r="J59" i="23"/>
  <c r="J53" i="23"/>
  <c r="J52" i="23"/>
  <c r="J51" i="23"/>
  <c r="J50" i="23"/>
  <c r="J49" i="23"/>
  <c r="J48" i="23"/>
  <c r="J47" i="23"/>
  <c r="J46" i="23"/>
  <c r="J45" i="23"/>
  <c r="J44" i="23"/>
  <c r="J43" i="23"/>
  <c r="J42" i="23"/>
  <c r="J41" i="23"/>
  <c r="J40" i="23"/>
  <c r="J39" i="23"/>
  <c r="J38" i="23"/>
  <c r="I162" i="17"/>
  <c r="BB11" i="14"/>
  <c r="AY11" i="14"/>
  <c r="F11" i="14" l="1"/>
  <c r="FP31" i="14"/>
  <c r="FO31" i="14"/>
  <c r="FP30" i="14"/>
  <c r="FO30" i="14"/>
  <c r="FP29" i="14"/>
  <c r="FO29" i="14"/>
  <c r="FP28" i="14"/>
  <c r="FO28" i="14"/>
  <c r="FP27" i="14"/>
  <c r="FO27" i="14"/>
  <c r="FP26" i="14"/>
  <c r="FO26" i="14"/>
  <c r="FP25" i="14"/>
  <c r="FO25" i="14"/>
  <c r="FP24" i="14"/>
  <c r="FO24" i="14"/>
  <c r="FP23" i="14"/>
  <c r="FO23" i="14"/>
  <c r="FP22" i="14"/>
  <c r="FO22" i="14"/>
  <c r="FP21" i="14"/>
  <c r="FO21" i="14"/>
  <c r="FP20" i="14"/>
  <c r="FO20" i="14"/>
  <c r="FP19" i="14"/>
  <c r="FO19" i="14"/>
  <c r="FP18" i="14"/>
  <c r="FO18" i="14"/>
  <c r="FP17" i="14"/>
  <c r="FO17" i="14"/>
  <c r="FP16" i="14"/>
  <c r="FO16" i="14"/>
  <c r="FP15" i="14"/>
  <c r="FO15" i="14"/>
  <c r="FP14" i="14"/>
  <c r="FO14" i="14"/>
  <c r="FP13" i="14"/>
  <c r="FO13" i="14"/>
  <c r="FP12" i="14"/>
  <c r="FO12" i="14"/>
  <c r="FP11" i="14"/>
  <c r="FO11" i="14"/>
  <c r="FP10" i="14"/>
  <c r="FO10" i="14"/>
  <c r="FP31" i="13"/>
  <c r="FO31" i="13"/>
  <c r="FP30" i="13"/>
  <c r="FO30" i="13"/>
  <c r="FP29" i="13"/>
  <c r="FO29" i="13"/>
  <c r="FP28" i="13"/>
  <c r="FO28" i="13"/>
  <c r="FP27" i="13"/>
  <c r="FO27" i="13"/>
  <c r="FP26" i="13"/>
  <c r="FO26" i="13"/>
  <c r="FP25" i="13"/>
  <c r="FO25" i="13"/>
  <c r="FP24" i="13"/>
  <c r="FO24" i="13"/>
  <c r="FP23" i="13"/>
  <c r="FO23" i="13"/>
  <c r="FP22" i="13"/>
  <c r="FO22" i="13"/>
  <c r="FP21" i="13"/>
  <c r="FO21" i="13"/>
  <c r="FP20" i="13"/>
  <c r="FO20" i="13"/>
  <c r="FP19" i="13"/>
  <c r="FO19" i="13"/>
  <c r="FP18" i="13"/>
  <c r="FO18" i="13"/>
  <c r="FP17" i="13"/>
  <c r="FO17" i="13"/>
  <c r="FP16" i="13"/>
  <c r="FO16" i="13"/>
  <c r="FP15" i="13"/>
  <c r="FO15" i="13"/>
  <c r="FP14" i="13"/>
  <c r="FO14" i="13"/>
  <c r="FP13" i="13"/>
  <c r="FO13" i="13"/>
  <c r="FP12" i="13"/>
  <c r="FP8" i="13" s="1"/>
  <c r="FO12" i="13"/>
  <c r="FO8" i="13" s="1"/>
  <c r="FP11" i="13"/>
  <c r="FO11" i="13"/>
  <c r="FP10" i="13"/>
  <c r="FO10" i="13"/>
  <c r="FP31" i="12"/>
  <c r="FO31" i="12"/>
  <c r="FP30" i="12"/>
  <c r="FO30" i="12"/>
  <c r="FP29" i="12"/>
  <c r="FO29" i="12"/>
  <c r="FP31" i="11"/>
  <c r="FO31" i="11"/>
  <c r="FP30" i="11"/>
  <c r="FO30" i="11"/>
  <c r="FP29" i="11"/>
  <c r="FO29" i="11"/>
  <c r="FP28" i="11"/>
  <c r="FO28" i="11"/>
  <c r="FP27" i="11"/>
  <c r="FO27" i="11"/>
  <c r="FP26" i="11"/>
  <c r="FO26" i="11"/>
  <c r="FP25" i="11"/>
  <c r="FO25" i="11"/>
  <c r="FP24" i="11"/>
  <c r="FO24" i="11"/>
  <c r="FP23" i="11"/>
  <c r="FO23" i="11"/>
  <c r="FP22" i="11"/>
  <c r="FO22" i="11"/>
  <c r="FP21" i="11"/>
  <c r="FO21" i="11"/>
  <c r="FP20" i="11"/>
  <c r="FO20" i="11"/>
  <c r="FO19" i="11"/>
  <c r="FP18" i="11"/>
  <c r="FO18" i="11"/>
  <c r="FP17" i="11"/>
  <c r="FO17" i="11"/>
  <c r="FP16" i="11"/>
  <c r="FO16" i="11"/>
  <c r="FP15" i="11"/>
  <c r="FO15" i="11"/>
  <c r="FP14" i="11"/>
  <c r="FO14" i="11"/>
  <c r="FP13" i="11"/>
  <c r="FO13" i="11"/>
  <c r="FP12" i="11"/>
  <c r="FO12" i="11"/>
  <c r="FP11" i="11"/>
  <c r="FO11" i="11"/>
  <c r="FP10" i="11"/>
  <c r="FO10" i="11"/>
  <c r="FO8" i="11" s="1"/>
  <c r="FO8" i="10"/>
  <c r="FP8" i="10"/>
  <c r="FO11" i="10"/>
  <c r="FP11" i="10"/>
  <c r="FO12" i="10"/>
  <c r="FP12" i="10"/>
  <c r="FO13" i="10"/>
  <c r="FP13" i="10"/>
  <c r="FO14" i="10"/>
  <c r="FP14" i="10"/>
  <c r="FO15" i="10"/>
  <c r="FP15" i="10"/>
  <c r="FO16" i="10"/>
  <c r="FP16" i="10"/>
  <c r="FO17" i="10"/>
  <c r="FP17" i="10"/>
  <c r="FO18" i="10"/>
  <c r="FP18" i="10"/>
  <c r="FO19" i="10"/>
  <c r="FP19" i="10"/>
  <c r="FO20" i="10"/>
  <c r="FP20" i="10"/>
  <c r="FO21" i="10"/>
  <c r="FP21" i="10"/>
  <c r="FO22" i="10"/>
  <c r="FP22" i="10"/>
  <c r="FO23" i="10"/>
  <c r="FP23" i="10"/>
  <c r="FO24" i="10"/>
  <c r="FP24" i="10"/>
  <c r="FO25" i="10"/>
  <c r="FP25" i="10"/>
  <c r="FO26" i="10"/>
  <c r="FP26" i="10"/>
  <c r="FO27" i="10"/>
  <c r="FP27" i="10"/>
  <c r="FO28" i="10"/>
  <c r="FP28" i="10"/>
  <c r="FO29" i="10"/>
  <c r="FP29" i="10"/>
  <c r="FO30" i="10"/>
  <c r="FP30" i="10"/>
  <c r="FO31" i="10"/>
  <c r="FP31" i="10"/>
  <c r="FP10" i="10"/>
  <c r="FO10" i="10"/>
  <c r="FN31" i="14"/>
  <c r="FM31" i="14"/>
  <c r="FN30" i="14"/>
  <c r="FM30" i="14"/>
  <c r="FN29" i="14"/>
  <c r="FM29" i="14"/>
  <c r="FN28" i="14"/>
  <c r="FM28" i="14"/>
  <c r="FN27" i="14"/>
  <c r="FM27" i="14"/>
  <c r="FN26" i="14"/>
  <c r="FM26" i="14"/>
  <c r="FN25" i="14"/>
  <c r="FM25" i="14"/>
  <c r="FN24" i="14"/>
  <c r="FM24" i="14"/>
  <c r="FN23" i="14"/>
  <c r="FM23" i="14"/>
  <c r="FN22" i="14"/>
  <c r="FM22" i="14"/>
  <c r="FN21" i="14"/>
  <c r="FM21" i="14"/>
  <c r="FN20" i="14"/>
  <c r="FM20" i="14"/>
  <c r="FN19" i="14"/>
  <c r="FM19" i="14"/>
  <c r="FN18" i="14"/>
  <c r="FM18" i="14"/>
  <c r="FN17" i="14"/>
  <c r="FM17" i="14"/>
  <c r="FN16" i="14"/>
  <c r="FM16" i="14"/>
  <c r="FN15" i="14"/>
  <c r="FM15" i="14"/>
  <c r="FN14" i="14"/>
  <c r="FM14" i="14"/>
  <c r="FN13" i="14"/>
  <c r="FM13" i="14"/>
  <c r="FN12" i="14"/>
  <c r="FM12" i="14"/>
  <c r="FN11" i="14"/>
  <c r="FM11" i="14"/>
  <c r="FN10" i="14"/>
  <c r="FM10" i="14"/>
  <c r="FN31" i="13"/>
  <c r="FM31" i="13"/>
  <c r="FN30" i="13"/>
  <c r="FM30" i="13"/>
  <c r="FN29" i="13"/>
  <c r="FM29" i="13"/>
  <c r="FN28" i="13"/>
  <c r="FM28" i="13"/>
  <c r="FN27" i="13"/>
  <c r="FM27" i="13"/>
  <c r="FN26" i="13"/>
  <c r="FM26" i="13"/>
  <c r="FN25" i="13"/>
  <c r="FM25" i="13"/>
  <c r="FN24" i="13"/>
  <c r="FM24" i="13"/>
  <c r="FN23" i="13"/>
  <c r="FM23" i="13"/>
  <c r="FN22" i="13"/>
  <c r="FM22" i="13"/>
  <c r="FN21" i="13"/>
  <c r="FM21" i="13"/>
  <c r="FN20" i="13"/>
  <c r="FM20" i="13"/>
  <c r="FN19" i="13"/>
  <c r="FM19" i="13"/>
  <c r="FN18" i="13"/>
  <c r="FM18" i="13"/>
  <c r="FN17" i="13"/>
  <c r="FM17" i="13"/>
  <c r="FN16" i="13"/>
  <c r="FM16" i="13"/>
  <c r="FN15" i="13"/>
  <c r="FM15" i="13"/>
  <c r="FN14" i="13"/>
  <c r="FM14" i="13"/>
  <c r="FN13" i="13"/>
  <c r="FM13" i="13"/>
  <c r="FN12" i="13"/>
  <c r="FM12" i="13"/>
  <c r="FN11" i="13"/>
  <c r="FM11" i="13"/>
  <c r="FN10" i="13"/>
  <c r="FM10" i="13"/>
  <c r="FN31" i="12"/>
  <c r="FM31" i="12"/>
  <c r="FN30" i="12"/>
  <c r="FM30" i="12"/>
  <c r="FN29" i="12"/>
  <c r="FM29" i="12"/>
  <c r="FN31" i="11"/>
  <c r="FM31" i="11"/>
  <c r="FN30" i="11"/>
  <c r="FM30" i="11"/>
  <c r="FN29" i="11"/>
  <c r="FM29" i="11"/>
  <c r="FN28" i="11"/>
  <c r="FM28" i="11"/>
  <c r="FN27" i="11"/>
  <c r="FM27" i="11"/>
  <c r="FN26" i="11"/>
  <c r="FM26" i="11"/>
  <c r="FN25" i="11"/>
  <c r="FM25" i="11"/>
  <c r="FN24" i="11"/>
  <c r="FM24" i="11"/>
  <c r="FN23" i="11"/>
  <c r="FM23" i="11"/>
  <c r="FN22" i="11"/>
  <c r="FM22" i="11"/>
  <c r="FN21" i="11"/>
  <c r="FM21" i="11"/>
  <c r="FN20" i="11"/>
  <c r="FM20" i="11"/>
  <c r="FN19" i="11"/>
  <c r="FM19" i="11"/>
  <c r="FN18" i="11"/>
  <c r="FM18" i="11"/>
  <c r="FN17" i="11"/>
  <c r="FM17" i="11"/>
  <c r="FN16" i="11"/>
  <c r="FM16" i="11"/>
  <c r="FN15" i="11"/>
  <c r="FM15" i="11"/>
  <c r="FN14" i="11"/>
  <c r="FM14" i="11"/>
  <c r="FN13" i="11"/>
  <c r="FM13" i="11"/>
  <c r="FN12" i="11"/>
  <c r="FM12" i="11"/>
  <c r="FN11" i="11"/>
  <c r="FM11" i="11"/>
  <c r="FN10" i="11"/>
  <c r="FM10" i="11"/>
  <c r="FN8" i="10"/>
  <c r="FM8" i="10"/>
  <c r="FM12" i="10"/>
  <c r="FN12" i="10"/>
  <c r="FM13" i="10"/>
  <c r="FN13" i="10"/>
  <c r="FM14" i="10"/>
  <c r="FN14" i="10"/>
  <c r="FM15" i="10"/>
  <c r="FN15" i="10"/>
  <c r="FM16" i="10"/>
  <c r="FN16" i="10"/>
  <c r="FM17" i="10"/>
  <c r="FN17" i="10"/>
  <c r="FM18" i="10"/>
  <c r="FN18" i="10"/>
  <c r="FM19" i="10"/>
  <c r="FN19" i="10"/>
  <c r="FM20" i="10"/>
  <c r="FN20" i="10"/>
  <c r="FM21" i="10"/>
  <c r="FN21" i="10"/>
  <c r="FM22" i="10"/>
  <c r="FN22" i="10"/>
  <c r="FM23" i="10"/>
  <c r="FN23" i="10"/>
  <c r="FM24" i="10"/>
  <c r="FN24" i="10"/>
  <c r="FM25" i="10"/>
  <c r="FN25" i="10"/>
  <c r="FM26" i="10"/>
  <c r="FN26" i="10"/>
  <c r="FM27" i="10"/>
  <c r="FN27" i="10"/>
  <c r="FM28" i="10"/>
  <c r="FN28" i="10"/>
  <c r="FM29" i="10"/>
  <c r="FN29" i="10"/>
  <c r="FM30" i="10"/>
  <c r="FN30" i="10"/>
  <c r="FM31" i="10"/>
  <c r="FN31" i="10"/>
  <c r="FM11" i="10"/>
  <c r="FN11" i="10"/>
  <c r="FN10" i="10"/>
  <c r="FM10" i="10"/>
  <c r="FS31" i="12" l="1"/>
  <c r="FS29" i="12"/>
  <c r="FS30" i="12"/>
  <c r="FP8" i="14"/>
  <c r="H152" i="17" s="1"/>
  <c r="FN8" i="14"/>
  <c r="FO8" i="14"/>
  <c r="G152" i="17" s="1"/>
  <c r="FM8" i="14"/>
  <c r="FN8" i="13"/>
  <c r="FM8" i="13"/>
  <c r="AI15" i="13"/>
  <c r="J176" i="16"/>
  <c r="L83" i="16"/>
  <c r="L84" i="16"/>
  <c r="L85" i="16"/>
  <c r="L86" i="16"/>
  <c r="L87" i="16"/>
  <c r="L88" i="16"/>
  <c r="L89" i="16"/>
  <c r="L90" i="16"/>
  <c r="L91" i="16"/>
  <c r="L92" i="16"/>
  <c r="L93" i="16"/>
  <c r="L94" i="16"/>
  <c r="L95" i="16"/>
  <c r="L96" i="16"/>
  <c r="L97" i="16"/>
  <c r="L98" i="16"/>
  <c r="L99" i="16"/>
  <c r="L138" i="16"/>
  <c r="L139" i="16"/>
  <c r="L140" i="16"/>
  <c r="L141" i="16"/>
  <c r="L143" i="16"/>
  <c r="L144" i="16"/>
  <c r="L145" i="16"/>
  <c r="L146" i="16"/>
  <c r="L147" i="16"/>
  <c r="L148" i="16"/>
  <c r="L150" i="16"/>
  <c r="L151" i="16"/>
  <c r="L152" i="16"/>
  <c r="L153" i="16"/>
  <c r="L154" i="16"/>
  <c r="L155" i="16"/>
  <c r="L156" i="16"/>
  <c r="L174" i="16"/>
  <c r="L175" i="16"/>
  <c r="L176" i="16"/>
  <c r="L177" i="16"/>
  <c r="L178" i="16"/>
  <c r="L82" i="16"/>
  <c r="I83" i="16"/>
  <c r="J83" i="16"/>
  <c r="K83" i="16"/>
  <c r="M83" i="16"/>
  <c r="N83" i="16"/>
  <c r="O83" i="16"/>
  <c r="P83" i="16"/>
  <c r="I84" i="16"/>
  <c r="J84" i="16"/>
  <c r="K84" i="16"/>
  <c r="M84" i="16"/>
  <c r="N84" i="16"/>
  <c r="O84" i="16"/>
  <c r="P84" i="16"/>
  <c r="I85" i="16"/>
  <c r="J85" i="16"/>
  <c r="K85" i="16"/>
  <c r="M85" i="16"/>
  <c r="N85" i="16"/>
  <c r="O85" i="16"/>
  <c r="P85" i="16"/>
  <c r="I86" i="16"/>
  <c r="J86" i="16"/>
  <c r="K86" i="16"/>
  <c r="M86" i="16"/>
  <c r="N86" i="16"/>
  <c r="O86" i="16"/>
  <c r="P86" i="16"/>
  <c r="I87" i="16"/>
  <c r="J87" i="16"/>
  <c r="K87" i="16"/>
  <c r="M87" i="16"/>
  <c r="N87" i="16"/>
  <c r="O87" i="16"/>
  <c r="P87" i="16"/>
  <c r="I88" i="16"/>
  <c r="J88" i="16"/>
  <c r="K88" i="16"/>
  <c r="M88" i="16"/>
  <c r="N88" i="16"/>
  <c r="O88" i="16"/>
  <c r="P88" i="16"/>
  <c r="I89" i="16"/>
  <c r="J89" i="16"/>
  <c r="K89" i="16"/>
  <c r="M89" i="16"/>
  <c r="N89" i="16"/>
  <c r="O89" i="16"/>
  <c r="P89" i="16"/>
  <c r="I90" i="16"/>
  <c r="J90" i="16"/>
  <c r="K90" i="16"/>
  <c r="M90" i="16"/>
  <c r="N90" i="16"/>
  <c r="O90" i="16"/>
  <c r="P90" i="16"/>
  <c r="I91" i="16"/>
  <c r="J91" i="16"/>
  <c r="K91" i="16"/>
  <c r="M91" i="16"/>
  <c r="N91" i="16"/>
  <c r="O91" i="16"/>
  <c r="P91" i="16"/>
  <c r="I92" i="16"/>
  <c r="J92" i="16"/>
  <c r="K92" i="16"/>
  <c r="M92" i="16"/>
  <c r="N92" i="16"/>
  <c r="O92" i="16"/>
  <c r="P92" i="16"/>
  <c r="I93" i="16"/>
  <c r="J93" i="16"/>
  <c r="K93" i="16"/>
  <c r="M93" i="16"/>
  <c r="N93" i="16"/>
  <c r="O93" i="16"/>
  <c r="P93" i="16"/>
  <c r="I94" i="16"/>
  <c r="J94" i="16"/>
  <c r="K94" i="16"/>
  <c r="M94" i="16"/>
  <c r="N94" i="16"/>
  <c r="O94" i="16"/>
  <c r="P94" i="16"/>
  <c r="I95" i="16"/>
  <c r="J95" i="16"/>
  <c r="K95" i="16"/>
  <c r="M95" i="16"/>
  <c r="N95" i="16"/>
  <c r="O95" i="16"/>
  <c r="P95" i="16"/>
  <c r="I96" i="16"/>
  <c r="J96" i="16"/>
  <c r="K96" i="16"/>
  <c r="M96" i="16"/>
  <c r="N96" i="16"/>
  <c r="O96" i="16"/>
  <c r="P96" i="16"/>
  <c r="I97" i="16"/>
  <c r="J97" i="16"/>
  <c r="K97" i="16"/>
  <c r="M97" i="16"/>
  <c r="N97" i="16"/>
  <c r="O97" i="16"/>
  <c r="P97" i="16"/>
  <c r="I98" i="16"/>
  <c r="J98" i="16"/>
  <c r="K98" i="16"/>
  <c r="M98" i="16"/>
  <c r="N98" i="16"/>
  <c r="O98" i="16"/>
  <c r="P98" i="16"/>
  <c r="I99" i="16"/>
  <c r="J99" i="16"/>
  <c r="K99" i="16"/>
  <c r="M99" i="16"/>
  <c r="N99" i="16"/>
  <c r="O99" i="16"/>
  <c r="P99" i="16"/>
  <c r="I138" i="16"/>
  <c r="J138" i="16"/>
  <c r="K138" i="16"/>
  <c r="M138" i="16"/>
  <c r="N138" i="16"/>
  <c r="O138" i="16"/>
  <c r="P138" i="16"/>
  <c r="K139" i="16"/>
  <c r="M139" i="16"/>
  <c r="N139" i="16"/>
  <c r="O139" i="16"/>
  <c r="P139" i="16"/>
  <c r="I140" i="16"/>
  <c r="J140" i="16"/>
  <c r="K140" i="16"/>
  <c r="M140" i="16"/>
  <c r="N140" i="16"/>
  <c r="O140" i="16"/>
  <c r="P140" i="16"/>
  <c r="I141" i="16"/>
  <c r="K141" i="16"/>
  <c r="M141" i="16"/>
  <c r="N141" i="16"/>
  <c r="O141" i="16"/>
  <c r="P141" i="16"/>
  <c r="I142" i="16"/>
  <c r="J142" i="16"/>
  <c r="K142" i="16"/>
  <c r="M142" i="16"/>
  <c r="N142" i="16"/>
  <c r="O142" i="16"/>
  <c r="P142" i="16"/>
  <c r="I143" i="16"/>
  <c r="K143" i="16"/>
  <c r="M143" i="16"/>
  <c r="N143" i="16"/>
  <c r="O143" i="16"/>
  <c r="P143" i="16"/>
  <c r="I144" i="16"/>
  <c r="J144" i="16"/>
  <c r="K144" i="16"/>
  <c r="M144" i="16"/>
  <c r="N144" i="16"/>
  <c r="O144" i="16"/>
  <c r="P144" i="16"/>
  <c r="I145" i="16"/>
  <c r="K145" i="16"/>
  <c r="M145" i="16"/>
  <c r="N145" i="16"/>
  <c r="O145" i="16"/>
  <c r="P145" i="16"/>
  <c r="I146" i="16"/>
  <c r="K146" i="16"/>
  <c r="M146" i="16"/>
  <c r="N146" i="16"/>
  <c r="O146" i="16"/>
  <c r="P146" i="16"/>
  <c r="I147" i="16"/>
  <c r="K147" i="16"/>
  <c r="M147" i="16"/>
  <c r="N147" i="16"/>
  <c r="O147" i="16"/>
  <c r="P147" i="16"/>
  <c r="I148" i="16"/>
  <c r="J148" i="16"/>
  <c r="K148" i="16"/>
  <c r="M148" i="16"/>
  <c r="N148" i="16"/>
  <c r="O148" i="16"/>
  <c r="P148" i="16"/>
  <c r="I149" i="16"/>
  <c r="J149" i="16"/>
  <c r="K149" i="16"/>
  <c r="M149" i="16"/>
  <c r="N149" i="16"/>
  <c r="O149" i="16"/>
  <c r="P149" i="16"/>
  <c r="I150" i="16"/>
  <c r="J150" i="16"/>
  <c r="K150" i="16"/>
  <c r="M150" i="16"/>
  <c r="N150" i="16"/>
  <c r="O150" i="16"/>
  <c r="P150" i="16"/>
  <c r="I151" i="16"/>
  <c r="J151" i="16"/>
  <c r="K151" i="16"/>
  <c r="M151" i="16"/>
  <c r="N151" i="16"/>
  <c r="O151" i="16"/>
  <c r="P151" i="16"/>
  <c r="I152" i="16"/>
  <c r="J152" i="16"/>
  <c r="K152" i="16"/>
  <c r="M152" i="16"/>
  <c r="N152" i="16"/>
  <c r="O152" i="16"/>
  <c r="P152" i="16"/>
  <c r="I153" i="16"/>
  <c r="J153" i="16"/>
  <c r="K153" i="16"/>
  <c r="M153" i="16"/>
  <c r="N153" i="16"/>
  <c r="O153" i="16"/>
  <c r="P153" i="16"/>
  <c r="I154" i="16"/>
  <c r="K154" i="16"/>
  <c r="M154" i="16"/>
  <c r="N154" i="16"/>
  <c r="O154" i="16"/>
  <c r="P154" i="16"/>
  <c r="I155" i="16"/>
  <c r="J155" i="16"/>
  <c r="K155" i="16"/>
  <c r="M155" i="16"/>
  <c r="N155" i="16"/>
  <c r="O155" i="16"/>
  <c r="P155" i="16"/>
  <c r="I156" i="16"/>
  <c r="J156" i="16"/>
  <c r="K156" i="16"/>
  <c r="M156" i="16"/>
  <c r="N156" i="16"/>
  <c r="O156" i="16"/>
  <c r="P156" i="16"/>
  <c r="I174" i="16"/>
  <c r="J174" i="16"/>
  <c r="K174" i="16"/>
  <c r="M174" i="16"/>
  <c r="N174" i="16"/>
  <c r="O174" i="16"/>
  <c r="P174" i="16"/>
  <c r="I175" i="16"/>
  <c r="J175" i="16"/>
  <c r="K175" i="16"/>
  <c r="M175" i="16"/>
  <c r="N175" i="16"/>
  <c r="O175" i="16"/>
  <c r="P175" i="16"/>
  <c r="K176" i="16"/>
  <c r="M176" i="16"/>
  <c r="N176" i="16"/>
  <c r="O176" i="16"/>
  <c r="P176" i="16"/>
  <c r="I177" i="16"/>
  <c r="J177" i="16"/>
  <c r="K177" i="16"/>
  <c r="M177" i="16"/>
  <c r="N177" i="16"/>
  <c r="O177" i="16"/>
  <c r="P177" i="16"/>
  <c r="I178" i="16"/>
  <c r="J178" i="16"/>
  <c r="K178" i="16"/>
  <c r="M178" i="16"/>
  <c r="N178" i="16"/>
  <c r="O178" i="16"/>
  <c r="P178" i="16"/>
  <c r="P82" i="16"/>
  <c r="O82" i="16"/>
  <c r="N82" i="16"/>
  <c r="M82" i="16"/>
  <c r="K82" i="16"/>
  <c r="J82" i="16"/>
  <c r="I82" i="16"/>
  <c r="E154" i="17" l="1"/>
  <c r="H161" i="17"/>
  <c r="H162" i="17" s="1"/>
  <c r="E153" i="17"/>
  <c r="F175" i="16"/>
  <c r="F177" i="16"/>
  <c r="F178" i="16"/>
  <c r="F174" i="16"/>
  <c r="E175" i="16"/>
  <c r="E177" i="16"/>
  <c r="E178" i="16"/>
  <c r="E174" i="16"/>
  <c r="F140" i="16"/>
  <c r="F142" i="16"/>
  <c r="L142" i="16" s="1"/>
  <c r="F144" i="16"/>
  <c r="F148" i="16"/>
  <c r="F150" i="16"/>
  <c r="F151" i="16"/>
  <c r="F152" i="16"/>
  <c r="F156" i="16"/>
  <c r="F138" i="16"/>
  <c r="E140" i="16"/>
  <c r="E141" i="16"/>
  <c r="E142" i="16"/>
  <c r="E144" i="16"/>
  <c r="E145" i="16"/>
  <c r="E146" i="16"/>
  <c r="E147" i="16"/>
  <c r="E148" i="16"/>
  <c r="E149" i="16"/>
  <c r="E150" i="16"/>
  <c r="E151" i="16"/>
  <c r="E138" i="16"/>
  <c r="E83" i="16"/>
  <c r="F83" i="16"/>
  <c r="E84" i="16"/>
  <c r="F84" i="16"/>
  <c r="E85" i="16"/>
  <c r="F85" i="16"/>
  <c r="E86" i="16"/>
  <c r="F86" i="16"/>
  <c r="E87" i="16"/>
  <c r="F87" i="16"/>
  <c r="E88" i="16"/>
  <c r="F88" i="16"/>
  <c r="E89" i="16"/>
  <c r="F89" i="16"/>
  <c r="E90" i="16"/>
  <c r="F90" i="16"/>
  <c r="E91" i="16"/>
  <c r="F91" i="16"/>
  <c r="E92" i="16"/>
  <c r="F92" i="16"/>
  <c r="E93" i="16"/>
  <c r="F93" i="16"/>
  <c r="E94" i="16"/>
  <c r="F94" i="16"/>
  <c r="E95" i="16"/>
  <c r="F95" i="16"/>
  <c r="E96" i="16"/>
  <c r="F96" i="16"/>
  <c r="E97" i="16"/>
  <c r="F97" i="16"/>
  <c r="E98" i="16"/>
  <c r="F98" i="16"/>
  <c r="E99" i="16"/>
  <c r="F99" i="16"/>
  <c r="F82" i="16"/>
  <c r="E82" i="16"/>
  <c r="D175" i="16"/>
  <c r="D176" i="16"/>
  <c r="D177" i="16"/>
  <c r="D178" i="16"/>
  <c r="D174" i="16"/>
  <c r="D158" i="16"/>
  <c r="D159" i="16"/>
  <c r="D160" i="16"/>
  <c r="D161" i="16"/>
  <c r="D162" i="16"/>
  <c r="D163" i="16"/>
  <c r="D164" i="16"/>
  <c r="D165" i="16"/>
  <c r="D166" i="16"/>
  <c r="D167" i="16"/>
  <c r="D168" i="16"/>
  <c r="D169" i="16"/>
  <c r="D170" i="16"/>
  <c r="D171" i="16"/>
  <c r="D172" i="16"/>
  <c r="D173" i="16"/>
  <c r="D157" i="16"/>
  <c r="D139" i="16"/>
  <c r="D140" i="16"/>
  <c r="D141" i="16"/>
  <c r="D142" i="16"/>
  <c r="D143" i="16"/>
  <c r="D144" i="16"/>
  <c r="D145" i="16"/>
  <c r="D146" i="16"/>
  <c r="D147" i="16"/>
  <c r="D148" i="16"/>
  <c r="D149" i="16"/>
  <c r="D150" i="16"/>
  <c r="D151" i="16"/>
  <c r="D152" i="16"/>
  <c r="D153" i="16"/>
  <c r="D154" i="16"/>
  <c r="D155" i="16"/>
  <c r="D156" i="16"/>
  <c r="D138" i="16"/>
  <c r="D120" i="16"/>
  <c r="D121" i="16"/>
  <c r="D122" i="16"/>
  <c r="D123" i="16"/>
  <c r="D124" i="16"/>
  <c r="D125" i="16"/>
  <c r="D126" i="16"/>
  <c r="D127" i="16"/>
  <c r="D128" i="16"/>
  <c r="D129" i="16"/>
  <c r="D130" i="16"/>
  <c r="D131" i="16"/>
  <c r="D132" i="16"/>
  <c r="D133" i="16"/>
  <c r="D134" i="16"/>
  <c r="D135" i="16"/>
  <c r="D136" i="16"/>
  <c r="D137" i="16"/>
  <c r="D119" i="16"/>
  <c r="D101" i="16"/>
  <c r="D102" i="16"/>
  <c r="D103" i="16"/>
  <c r="D104" i="16"/>
  <c r="D105" i="16"/>
  <c r="D106" i="16"/>
  <c r="D107" i="16"/>
  <c r="D108" i="16"/>
  <c r="D109" i="16"/>
  <c r="D110" i="16"/>
  <c r="D111" i="16"/>
  <c r="D112" i="16"/>
  <c r="D113" i="16"/>
  <c r="D114" i="16"/>
  <c r="D115" i="16"/>
  <c r="D116" i="16"/>
  <c r="D117" i="16"/>
  <c r="D118" i="16"/>
  <c r="D100" i="16"/>
  <c r="D83" i="16"/>
  <c r="D84" i="16"/>
  <c r="D85" i="16"/>
  <c r="D86" i="16"/>
  <c r="D87" i="16"/>
  <c r="D88" i="16"/>
  <c r="D89" i="16"/>
  <c r="D90" i="16"/>
  <c r="D91" i="16"/>
  <c r="D92" i="16"/>
  <c r="D93" i="16"/>
  <c r="D94" i="16"/>
  <c r="D95" i="16"/>
  <c r="D96" i="16"/>
  <c r="D97" i="16"/>
  <c r="D98" i="16"/>
  <c r="D99" i="16"/>
  <c r="D82" i="16"/>
  <c r="C175" i="16"/>
  <c r="C176" i="16"/>
  <c r="C177" i="16"/>
  <c r="C178" i="16"/>
  <c r="C174" i="16"/>
  <c r="C158" i="16"/>
  <c r="C159" i="16"/>
  <c r="C160" i="16"/>
  <c r="C161" i="16"/>
  <c r="C162" i="16"/>
  <c r="C163" i="16"/>
  <c r="C164" i="16"/>
  <c r="C165" i="16"/>
  <c r="C166" i="16"/>
  <c r="C167" i="16"/>
  <c r="C168" i="16"/>
  <c r="C169" i="16"/>
  <c r="C170" i="16"/>
  <c r="C171" i="16"/>
  <c r="C172" i="16"/>
  <c r="C173" i="16"/>
  <c r="C157" i="16"/>
  <c r="C139" i="16"/>
  <c r="C140" i="16"/>
  <c r="C141" i="16"/>
  <c r="C142" i="16"/>
  <c r="C143" i="16"/>
  <c r="C144" i="16"/>
  <c r="C145" i="16"/>
  <c r="C146" i="16"/>
  <c r="C147" i="16"/>
  <c r="C148" i="16"/>
  <c r="C149" i="16"/>
  <c r="C150" i="16"/>
  <c r="C151" i="16"/>
  <c r="C152" i="16"/>
  <c r="C154" i="16"/>
  <c r="C155" i="16"/>
  <c r="C156" i="16"/>
  <c r="C138" i="16"/>
  <c r="C120" i="16"/>
  <c r="C121" i="16"/>
  <c r="C122" i="16"/>
  <c r="C123" i="16"/>
  <c r="C124" i="16"/>
  <c r="C125" i="16"/>
  <c r="C126" i="16"/>
  <c r="C127" i="16"/>
  <c r="C128" i="16"/>
  <c r="C129" i="16"/>
  <c r="C130" i="16"/>
  <c r="C131" i="16"/>
  <c r="C132" i="16"/>
  <c r="C133" i="16"/>
  <c r="C134" i="16"/>
  <c r="C135" i="16"/>
  <c r="C136" i="16"/>
  <c r="C137" i="16"/>
  <c r="C119" i="16"/>
  <c r="C101" i="16"/>
  <c r="C102" i="16"/>
  <c r="C103" i="16"/>
  <c r="C104" i="16"/>
  <c r="C105" i="16"/>
  <c r="C106" i="16"/>
  <c r="C107" i="16"/>
  <c r="C108" i="16"/>
  <c r="C109" i="16"/>
  <c r="C110" i="16"/>
  <c r="C111" i="16"/>
  <c r="C112" i="16"/>
  <c r="C113" i="16"/>
  <c r="C114" i="16"/>
  <c r="C115" i="16"/>
  <c r="C116" i="16"/>
  <c r="C117" i="16"/>
  <c r="C118" i="16"/>
  <c r="C100" i="16"/>
  <c r="C83" i="16"/>
  <c r="C84" i="16"/>
  <c r="C85" i="16"/>
  <c r="C86" i="16"/>
  <c r="C87" i="16"/>
  <c r="C88" i="16"/>
  <c r="C89" i="16"/>
  <c r="C90" i="16"/>
  <c r="C91" i="16"/>
  <c r="C92" i="16"/>
  <c r="C93" i="16"/>
  <c r="C94" i="16"/>
  <c r="C95" i="16"/>
  <c r="C96" i="16"/>
  <c r="C97" i="16"/>
  <c r="C98" i="16"/>
  <c r="C99" i="16"/>
  <c r="C82" i="16"/>
  <c r="AQ7" i="19"/>
  <c r="F4" i="23" s="1"/>
  <c r="AQ6" i="19"/>
  <c r="E4" i="23" s="1"/>
  <c r="G8" i="23"/>
  <c r="BR27" i="19"/>
  <c r="BU27" i="19"/>
  <c r="E155" i="17" l="1"/>
  <c r="P132" i="16"/>
  <c r="I132" i="16"/>
  <c r="J132" i="16"/>
  <c r="M132" i="16"/>
  <c r="N132" i="16"/>
  <c r="O132" i="16"/>
  <c r="N131" i="16"/>
  <c r="P131" i="16"/>
  <c r="O131" i="16"/>
  <c r="I131" i="16"/>
  <c r="J131" i="16"/>
  <c r="M131" i="16"/>
  <c r="K122" i="16"/>
  <c r="M122" i="16"/>
  <c r="O122" i="16"/>
  <c r="P122" i="16"/>
  <c r="L122" i="16"/>
  <c r="N122" i="16"/>
  <c r="N137" i="16"/>
  <c r="O137" i="16"/>
  <c r="I137" i="16"/>
  <c r="J137" i="16"/>
  <c r="M137" i="16"/>
  <c r="P137" i="16"/>
  <c r="M121" i="16"/>
  <c r="L121" i="16"/>
  <c r="N121" i="16"/>
  <c r="O121" i="16"/>
  <c r="P121" i="16"/>
  <c r="K121" i="16"/>
  <c r="I136" i="16"/>
  <c r="J136" i="16"/>
  <c r="K136" i="16"/>
  <c r="M136" i="16"/>
  <c r="N136" i="16"/>
  <c r="L136" i="16"/>
  <c r="N128" i="16"/>
  <c r="O128" i="16"/>
  <c r="L128" i="16"/>
  <c r="K128" i="16"/>
  <c r="M128" i="16"/>
  <c r="P128" i="16"/>
  <c r="N120" i="16"/>
  <c r="P120" i="16"/>
  <c r="O120" i="16"/>
  <c r="L120" i="16"/>
  <c r="K120" i="16"/>
  <c r="M120" i="16"/>
  <c r="K135" i="16"/>
  <c r="L135" i="16"/>
  <c r="M135" i="16"/>
  <c r="N135" i="16"/>
  <c r="O135" i="16"/>
  <c r="P135" i="16"/>
  <c r="L127" i="16"/>
  <c r="K127" i="16"/>
  <c r="N127" i="16"/>
  <c r="O127" i="16"/>
  <c r="P127" i="16"/>
  <c r="M127" i="16"/>
  <c r="L124" i="16"/>
  <c r="K124" i="16"/>
  <c r="N124" i="16"/>
  <c r="O124" i="16"/>
  <c r="P124" i="16"/>
  <c r="M124" i="16"/>
  <c r="O123" i="16"/>
  <c r="P123" i="16"/>
  <c r="K123" i="16"/>
  <c r="M123" i="16"/>
  <c r="L123" i="16"/>
  <c r="N123" i="16"/>
  <c r="K119" i="16"/>
  <c r="I119" i="16"/>
  <c r="J119" i="16"/>
  <c r="L119" i="16"/>
  <c r="M119" i="16"/>
  <c r="N119" i="16"/>
  <c r="K130" i="16"/>
  <c r="O130" i="16"/>
  <c r="M130" i="16"/>
  <c r="N130" i="16"/>
  <c r="P130" i="16"/>
  <c r="L130" i="16"/>
  <c r="M129" i="16"/>
  <c r="L129" i="16"/>
  <c r="N129" i="16"/>
  <c r="O129" i="16"/>
  <c r="P129" i="16"/>
  <c r="K129" i="16"/>
  <c r="L134" i="16"/>
  <c r="N134" i="16"/>
  <c r="P134" i="16"/>
  <c r="O134" i="16"/>
  <c r="K134" i="16"/>
  <c r="M134" i="16"/>
  <c r="P126" i="16"/>
  <c r="I126" i="16"/>
  <c r="J126" i="16"/>
  <c r="K126" i="16"/>
  <c r="O126" i="16"/>
  <c r="L126" i="16"/>
  <c r="K133" i="16"/>
  <c r="O133" i="16"/>
  <c r="P133" i="16"/>
  <c r="L133" i="16"/>
  <c r="M133" i="16"/>
  <c r="N133" i="16"/>
  <c r="J125" i="16"/>
  <c r="O125" i="16"/>
  <c r="P125" i="16"/>
  <c r="L125" i="16"/>
  <c r="K125" i="16"/>
  <c r="I125" i="16"/>
  <c r="L100" i="16"/>
  <c r="K100" i="16"/>
  <c r="M100" i="16"/>
  <c r="N100" i="16"/>
  <c r="O100" i="16"/>
  <c r="P100" i="16"/>
  <c r="L118" i="16"/>
  <c r="I118" i="16"/>
  <c r="J118" i="16"/>
  <c r="K118" i="16"/>
  <c r="O118" i="16"/>
  <c r="P118" i="16"/>
  <c r="L117" i="16"/>
  <c r="I117" i="16"/>
  <c r="J117" i="16"/>
  <c r="K117" i="16"/>
  <c r="M117" i="16"/>
  <c r="N117" i="16"/>
  <c r="L116" i="16"/>
  <c r="I116" i="16"/>
  <c r="J116" i="16"/>
  <c r="K116" i="16"/>
  <c r="M116" i="16"/>
  <c r="N116" i="16"/>
  <c r="L115" i="16"/>
  <c r="K115" i="16"/>
  <c r="M115" i="16"/>
  <c r="N115" i="16"/>
  <c r="O115" i="16"/>
  <c r="P115" i="16"/>
  <c r="I114" i="16"/>
  <c r="J114" i="16"/>
  <c r="M114" i="16"/>
  <c r="N114" i="16"/>
  <c r="O114" i="16"/>
  <c r="P114" i="16"/>
  <c r="L113" i="16"/>
  <c r="K113" i="16"/>
  <c r="M113" i="16"/>
  <c r="N113" i="16"/>
  <c r="O113" i="16"/>
  <c r="P113" i="16"/>
  <c r="L112" i="16"/>
  <c r="K112" i="16"/>
  <c r="M112" i="16"/>
  <c r="N112" i="16"/>
  <c r="O112" i="16"/>
  <c r="P112" i="16"/>
  <c r="L111" i="16"/>
  <c r="I111" i="16"/>
  <c r="J111" i="16"/>
  <c r="K111" i="16"/>
  <c r="O111" i="16"/>
  <c r="P111" i="16"/>
  <c r="L110" i="16"/>
  <c r="I110" i="16"/>
  <c r="K110" i="16"/>
  <c r="M110" i="16"/>
  <c r="N110" i="16"/>
  <c r="O110" i="16"/>
  <c r="P110" i="16"/>
  <c r="L109" i="16"/>
  <c r="K109" i="16"/>
  <c r="M109" i="16"/>
  <c r="N109" i="16"/>
  <c r="O109" i="16"/>
  <c r="P109" i="16"/>
  <c r="L108" i="16"/>
  <c r="K108" i="16"/>
  <c r="M108" i="16"/>
  <c r="N108" i="16"/>
  <c r="O108" i="16"/>
  <c r="P108" i="16"/>
  <c r="L107" i="16"/>
  <c r="K107" i="16"/>
  <c r="M107" i="16"/>
  <c r="N107" i="16"/>
  <c r="O107" i="16"/>
  <c r="P107" i="16"/>
  <c r="L106" i="16"/>
  <c r="K106" i="16"/>
  <c r="M106" i="16"/>
  <c r="N106" i="16"/>
  <c r="O106" i="16"/>
  <c r="P106" i="16"/>
  <c r="L105" i="16"/>
  <c r="I105" i="16"/>
  <c r="J105" i="16"/>
  <c r="K105" i="16"/>
  <c r="O105" i="16"/>
  <c r="P105" i="16"/>
  <c r="L104" i="16"/>
  <c r="K104" i="16"/>
  <c r="M104" i="16"/>
  <c r="N104" i="16"/>
  <c r="O104" i="16"/>
  <c r="P104" i="16"/>
  <c r="I103" i="16"/>
  <c r="J103" i="16"/>
  <c r="M103" i="16"/>
  <c r="N103" i="16"/>
  <c r="O103" i="16"/>
  <c r="P103" i="16"/>
  <c r="I102" i="16"/>
  <c r="J102" i="16"/>
  <c r="M102" i="16"/>
  <c r="N102" i="16"/>
  <c r="O102" i="16"/>
  <c r="P102" i="16"/>
  <c r="L101" i="16"/>
  <c r="K101" i="16"/>
  <c r="M101" i="16"/>
  <c r="N101" i="16"/>
  <c r="O101" i="16"/>
  <c r="P101" i="16"/>
  <c r="K169" i="16"/>
  <c r="L169" i="16"/>
  <c r="M169" i="16"/>
  <c r="N169" i="16"/>
  <c r="O169" i="16"/>
  <c r="P169" i="16"/>
  <c r="L168" i="16"/>
  <c r="K168" i="16"/>
  <c r="O168" i="16"/>
  <c r="M168" i="16"/>
  <c r="N168" i="16"/>
  <c r="P168" i="16"/>
  <c r="O172" i="16"/>
  <c r="P172" i="16"/>
  <c r="L172" i="16"/>
  <c r="K172" i="16"/>
  <c r="M172" i="16"/>
  <c r="N172" i="16"/>
  <c r="I164" i="16"/>
  <c r="L164" i="16"/>
  <c r="J164" i="16"/>
  <c r="K164" i="16"/>
  <c r="M164" i="16"/>
  <c r="N164" i="16"/>
  <c r="N171" i="16"/>
  <c r="O171" i="16"/>
  <c r="M171" i="16"/>
  <c r="P171" i="16"/>
  <c r="L171" i="16"/>
  <c r="K171" i="16"/>
  <c r="N163" i="16"/>
  <c r="O163" i="16"/>
  <c r="M163" i="16"/>
  <c r="P163" i="16"/>
  <c r="L163" i="16"/>
  <c r="K163" i="16"/>
  <c r="L170" i="16"/>
  <c r="O170" i="16"/>
  <c r="P170" i="16"/>
  <c r="K170" i="16"/>
  <c r="I170" i="16"/>
  <c r="J170" i="16"/>
  <c r="M162" i="16"/>
  <c r="N162" i="16"/>
  <c r="L162" i="16"/>
  <c r="O162" i="16"/>
  <c r="P162" i="16"/>
  <c r="K162" i="16"/>
  <c r="K161" i="16"/>
  <c r="L161" i="16"/>
  <c r="O161" i="16"/>
  <c r="P161" i="16"/>
  <c r="J161" i="16"/>
  <c r="I161" i="16"/>
  <c r="L160" i="16"/>
  <c r="K160" i="16"/>
  <c r="M160" i="16"/>
  <c r="N160" i="16"/>
  <c r="O160" i="16"/>
  <c r="P160" i="16"/>
  <c r="K167" i="16"/>
  <c r="M167" i="16"/>
  <c r="N167" i="16"/>
  <c r="O167" i="16"/>
  <c r="P167" i="16"/>
  <c r="L167" i="16"/>
  <c r="L159" i="16"/>
  <c r="N159" i="16"/>
  <c r="K159" i="16"/>
  <c r="M159" i="16"/>
  <c r="O159" i="16"/>
  <c r="P159" i="16"/>
  <c r="P157" i="16"/>
  <c r="I157" i="16"/>
  <c r="J157" i="16"/>
  <c r="M157" i="16"/>
  <c r="N157" i="16"/>
  <c r="O157" i="16"/>
  <c r="P166" i="16"/>
  <c r="K166" i="16"/>
  <c r="M166" i="16"/>
  <c r="N166" i="16"/>
  <c r="L166" i="16"/>
  <c r="O166" i="16"/>
  <c r="I158" i="16"/>
  <c r="P158" i="16"/>
  <c r="J158" i="16"/>
  <c r="K158" i="16"/>
  <c r="L158" i="16"/>
  <c r="O158" i="16"/>
  <c r="P173" i="16"/>
  <c r="I173" i="16"/>
  <c r="J173" i="16"/>
  <c r="O173" i="16"/>
  <c r="M173" i="16"/>
  <c r="N173" i="16"/>
  <c r="P165" i="16"/>
  <c r="K165" i="16"/>
  <c r="O165" i="16"/>
  <c r="L165" i="16"/>
  <c r="M165" i="16"/>
  <c r="N165" i="16"/>
  <c r="G7" i="23"/>
  <c r="G4" i="23"/>
  <c r="G5" i="23"/>
  <c r="G6" i="23"/>
  <c r="E9" i="23"/>
  <c r="AX10" i="12"/>
  <c r="V62" i="16" l="1"/>
  <c r="V63" i="16"/>
  <c r="V61" i="16"/>
  <c r="W70" i="16"/>
  <c r="W71" i="16"/>
  <c r="W72" i="16"/>
  <c r="W73" i="16"/>
  <c r="Q74" i="16"/>
  <c r="R74" i="16"/>
  <c r="S74" i="16"/>
  <c r="T74" i="16"/>
  <c r="U74" i="16"/>
  <c r="V74" i="16"/>
  <c r="B24" i="22"/>
  <c r="B25" i="22"/>
  <c r="B26" i="22"/>
  <c r="B27" i="22"/>
  <c r="B28" i="22"/>
  <c r="CO27" i="13"/>
  <c r="CQ27" i="13"/>
  <c r="CR27" i="13"/>
  <c r="CG27" i="13"/>
  <c r="CH27" i="13"/>
  <c r="AU12" i="12"/>
  <c r="BE12" i="12"/>
  <c r="BO12" i="12"/>
  <c r="BY12" i="12"/>
  <c r="CI12" i="12"/>
  <c r="CS12" i="12"/>
  <c r="CU12" i="12"/>
  <c r="CV12" i="12"/>
  <c r="CW12" i="12" s="1"/>
  <c r="CX12" i="12"/>
  <c r="CY12" i="12"/>
  <c r="CZ12" i="12" s="1"/>
  <c r="DC12" i="12"/>
  <c r="DM12" i="12"/>
  <c r="DT12" i="12"/>
  <c r="EA12" i="12"/>
  <c r="ED12" i="12"/>
  <c r="EK12" i="12"/>
  <c r="EN12" i="12"/>
  <c r="EU12" i="12"/>
  <c r="EX12" i="12"/>
  <c r="FE12" i="12"/>
  <c r="FH12" i="12"/>
  <c r="N12" i="12"/>
  <c r="O12" i="12"/>
  <c r="P12" i="12"/>
  <c r="Q12" i="12"/>
  <c r="DB21" i="13"/>
  <c r="DA21" i="13"/>
  <c r="CY21" i="13"/>
  <c r="DL19" i="13"/>
  <c r="DK19" i="13"/>
  <c r="DI19" i="13"/>
  <c r="CO19" i="13"/>
  <c r="CQ19" i="13"/>
  <c r="CR19" i="13"/>
  <c r="CH19" i="13"/>
  <c r="CG19" i="13"/>
  <c r="CE19" i="13"/>
  <c r="DL24" i="13"/>
  <c r="DK24" i="13"/>
  <c r="V64" i="16" l="1"/>
  <c r="W74" i="16"/>
  <c r="B29" i="22"/>
  <c r="K12" i="12"/>
  <c r="DI24" i="13" l="1"/>
  <c r="CC23" i="14" l="1"/>
  <c r="CC26" i="11" l="1"/>
  <c r="CN24" i="12" l="1"/>
  <c r="CO24" i="12"/>
  <c r="CN25" i="12"/>
  <c r="CO25" i="12"/>
  <c r="CN26" i="12"/>
  <c r="CO26" i="12"/>
  <c r="CN27" i="12"/>
  <c r="CO27" i="12"/>
  <c r="CK24" i="12"/>
  <c r="CL24" i="12"/>
  <c r="CK25" i="12"/>
  <c r="CL25" i="12"/>
  <c r="CK26" i="12"/>
  <c r="CL26" i="12"/>
  <c r="CK27" i="12"/>
  <c r="CL27" i="12"/>
  <c r="CI22" i="12"/>
  <c r="CI23" i="12"/>
  <c r="CI24" i="12"/>
  <c r="CI25" i="12"/>
  <c r="CI26" i="12"/>
  <c r="CI27" i="12"/>
  <c r="CI28" i="12"/>
  <c r="CS11" i="12"/>
  <c r="CS14" i="12"/>
  <c r="CS16" i="12"/>
  <c r="CS17" i="12"/>
  <c r="CS18" i="12"/>
  <c r="CS19" i="12"/>
  <c r="CS20" i="12"/>
  <c r="CS22" i="12"/>
  <c r="CS23" i="12"/>
  <c r="CS24" i="12"/>
  <c r="CS26" i="12"/>
  <c r="CS27" i="12"/>
  <c r="CU24" i="12"/>
  <c r="CV24" i="12"/>
  <c r="CU26" i="12"/>
  <c r="CV26" i="12"/>
  <c r="CU27" i="12"/>
  <c r="CV27" i="12"/>
  <c r="CX24" i="12"/>
  <c r="CY24" i="12"/>
  <c r="CX26" i="12"/>
  <c r="CY26" i="12"/>
  <c r="CX27" i="12"/>
  <c r="CY27" i="12"/>
  <c r="DI24" i="12"/>
  <c r="DI26" i="12"/>
  <c r="DI27" i="12"/>
  <c r="DH24" i="12"/>
  <c r="DH26" i="12"/>
  <c r="DH27" i="12"/>
  <c r="DF24" i="12"/>
  <c r="DF26" i="12"/>
  <c r="DF27" i="12"/>
  <c r="DC14" i="12"/>
  <c r="DC16" i="12"/>
  <c r="DC17" i="12"/>
  <c r="DC19" i="12"/>
  <c r="DC20" i="12"/>
  <c r="DC22" i="12"/>
  <c r="DC23" i="12"/>
  <c r="DC24" i="12"/>
  <c r="DC26" i="12"/>
  <c r="DC27" i="12"/>
  <c r="DE24" i="12"/>
  <c r="DE26" i="12"/>
  <c r="DE27" i="12"/>
  <c r="DC11" i="12"/>
  <c r="DS24" i="12"/>
  <c r="DS26" i="12"/>
  <c r="DS27" i="12"/>
  <c r="DR24" i="12"/>
  <c r="DR26" i="12"/>
  <c r="DR27" i="12"/>
  <c r="DP24" i="12"/>
  <c r="DP26" i="12"/>
  <c r="DP27" i="12"/>
  <c r="DO26" i="12"/>
  <c r="DO27" i="12"/>
  <c r="DO24" i="12"/>
  <c r="DM14" i="12"/>
  <c r="DM16" i="12"/>
  <c r="DM17" i="12"/>
  <c r="DM20" i="12"/>
  <c r="DM22" i="12"/>
  <c r="DM24" i="12"/>
  <c r="DM26" i="12"/>
  <c r="DM27" i="12"/>
  <c r="DM11" i="12"/>
  <c r="EA11" i="12"/>
  <c r="ED11" i="12"/>
  <c r="EK11" i="12"/>
  <c r="EN11" i="12"/>
  <c r="EU11" i="12"/>
  <c r="EX11" i="12"/>
  <c r="FE11" i="12"/>
  <c r="FH11" i="12"/>
  <c r="EA13" i="12"/>
  <c r="ED13" i="12"/>
  <c r="EK13" i="12"/>
  <c r="EN13" i="12"/>
  <c r="EU13" i="12"/>
  <c r="EX13" i="12"/>
  <c r="FE13" i="12"/>
  <c r="FH13" i="12"/>
  <c r="EA14" i="12"/>
  <c r="ED14" i="12"/>
  <c r="EK14" i="12"/>
  <c r="EN14" i="12"/>
  <c r="EU14" i="12"/>
  <c r="EX14" i="12"/>
  <c r="FE14" i="12"/>
  <c r="FH14" i="12"/>
  <c r="CY10" i="12"/>
  <c r="CX10" i="12"/>
  <c r="CV10" i="12"/>
  <c r="CU10" i="12"/>
  <c r="CS10" i="12"/>
  <c r="CO13" i="12"/>
  <c r="CO15" i="12"/>
  <c r="CN13" i="12"/>
  <c r="CN15" i="12"/>
  <c r="CL13" i="12"/>
  <c r="CL15" i="12"/>
  <c r="CK13" i="12"/>
  <c r="CK15" i="12"/>
  <c r="CI11" i="12"/>
  <c r="CI13" i="12"/>
  <c r="CI14" i="12"/>
  <c r="CI15" i="12"/>
  <c r="CI16" i="12"/>
  <c r="CI17" i="12"/>
  <c r="CI18" i="12"/>
  <c r="CI19" i="12"/>
  <c r="CI20" i="12"/>
  <c r="CI10" i="12"/>
  <c r="CE15" i="12"/>
  <c r="CE18" i="12"/>
  <c r="CE23" i="12"/>
  <c r="CE24" i="12"/>
  <c r="CE25" i="12"/>
  <c r="CE26" i="12"/>
  <c r="CE27" i="12"/>
  <c r="CD15" i="12"/>
  <c r="CD18" i="12"/>
  <c r="CD23" i="12"/>
  <c r="CD24" i="12"/>
  <c r="CD25" i="12"/>
  <c r="CD26" i="12"/>
  <c r="CD27" i="12"/>
  <c r="CE10" i="12"/>
  <c r="CD10" i="12"/>
  <c r="CB10" i="12"/>
  <c r="CA10" i="12"/>
  <c r="CB15" i="12"/>
  <c r="CB18" i="12"/>
  <c r="CB23" i="12"/>
  <c r="CB24" i="12"/>
  <c r="CB25" i="12"/>
  <c r="CB26" i="12"/>
  <c r="CB27" i="12"/>
  <c r="CA15" i="12"/>
  <c r="CA18" i="12"/>
  <c r="CA23" i="12"/>
  <c r="CA24" i="12"/>
  <c r="BY11" i="12"/>
  <c r="BY13" i="12"/>
  <c r="BY14" i="12"/>
  <c r="BY15" i="12"/>
  <c r="BY16" i="12"/>
  <c r="BY17" i="12"/>
  <c r="BY18" i="12"/>
  <c r="BY19" i="12"/>
  <c r="BY20" i="12"/>
  <c r="BY21" i="12"/>
  <c r="BY22" i="12"/>
  <c r="BY23" i="12"/>
  <c r="BY24" i="12"/>
  <c r="BY25" i="12"/>
  <c r="BY26" i="12"/>
  <c r="BY27" i="12"/>
  <c r="BY28" i="12"/>
  <c r="BY10" i="12"/>
  <c r="BU24" i="12"/>
  <c r="BU25" i="12"/>
  <c r="BU26" i="12"/>
  <c r="BU28" i="12"/>
  <c r="BT24" i="12"/>
  <c r="BT25" i="12"/>
  <c r="BT26" i="12"/>
  <c r="BT28" i="12"/>
  <c r="BR24" i="12"/>
  <c r="BR25" i="12"/>
  <c r="BR26" i="12"/>
  <c r="BR28" i="12"/>
  <c r="BQ24" i="12"/>
  <c r="BQ25" i="12"/>
  <c r="BQ26" i="12"/>
  <c r="BQ28" i="12"/>
  <c r="BO11" i="12"/>
  <c r="BO13" i="12"/>
  <c r="BO14" i="12"/>
  <c r="BO15" i="12"/>
  <c r="BO16" i="12"/>
  <c r="BO17" i="12"/>
  <c r="BO18" i="12"/>
  <c r="BO19" i="12"/>
  <c r="BO20" i="12"/>
  <c r="BO21" i="12"/>
  <c r="BO22" i="12"/>
  <c r="BO23" i="12"/>
  <c r="BO24" i="12"/>
  <c r="BO25" i="12"/>
  <c r="BO26" i="12"/>
  <c r="BO27" i="12"/>
  <c r="BO28" i="12"/>
  <c r="BO10" i="12"/>
  <c r="BK24" i="12"/>
  <c r="BJ24" i="12"/>
  <c r="BH24" i="12"/>
  <c r="BG24" i="12"/>
  <c r="BE11" i="12"/>
  <c r="BE13" i="12"/>
  <c r="BE14" i="12"/>
  <c r="BE15" i="12"/>
  <c r="BE16" i="12"/>
  <c r="BE17" i="12"/>
  <c r="BE18" i="12"/>
  <c r="BE19" i="12"/>
  <c r="BE20" i="12"/>
  <c r="BE21" i="12"/>
  <c r="BE22" i="12"/>
  <c r="BE23" i="12"/>
  <c r="BE24" i="12"/>
  <c r="BE25" i="12"/>
  <c r="BE26" i="12"/>
  <c r="BE27" i="12"/>
  <c r="BE28" i="12"/>
  <c r="BE10" i="12"/>
  <c r="AU11" i="12"/>
  <c r="AU13" i="12"/>
  <c r="AU14" i="12"/>
  <c r="AU15" i="12"/>
  <c r="AU16" i="12"/>
  <c r="AU17" i="12"/>
  <c r="AU18" i="12"/>
  <c r="AU19" i="12"/>
  <c r="AU20" i="12"/>
  <c r="AU21" i="12"/>
  <c r="AU22" i="12"/>
  <c r="AU23" i="12"/>
  <c r="AU24" i="12"/>
  <c r="AU25" i="12"/>
  <c r="AU26" i="12"/>
  <c r="AU27" i="12"/>
  <c r="AU28" i="12"/>
  <c r="AU10" i="12"/>
  <c r="DI17" i="12" l="1"/>
  <c r="DI14" i="12"/>
  <c r="DI11" i="12"/>
  <c r="DI23" i="12"/>
  <c r="DI20" i="12"/>
  <c r="DI22" i="12"/>
  <c r="DI16" i="12"/>
  <c r="DI12" i="12" l="1"/>
  <c r="DH12" i="12"/>
  <c r="DH19" i="12"/>
  <c r="DE19" i="12"/>
  <c r="DE23" i="12"/>
  <c r="DH11" i="12"/>
  <c r="DH20" i="12"/>
  <c r="DH16" i="12"/>
  <c r="DH17" i="12"/>
  <c r="DH23" i="12"/>
  <c r="DH22" i="12"/>
  <c r="CY14" i="12"/>
  <c r="DH14" i="12"/>
  <c r="BT11" i="12"/>
  <c r="CN11" i="12"/>
  <c r="BU19" i="12"/>
  <c r="CA12" i="12"/>
  <c r="DR14" i="12"/>
  <c r="CX20" i="12"/>
  <c r="CY22" i="12"/>
  <c r="BQ23" i="12"/>
  <c r="CK23" i="12"/>
  <c r="CY16" i="12"/>
  <c r="BT20" i="12"/>
  <c r="CA21" i="12"/>
  <c r="CE17" i="12"/>
  <c r="CN22" i="12"/>
  <c r="CU17" i="12"/>
  <c r="CE14" i="12"/>
  <c r="CO16" i="12"/>
  <c r="BT21" i="12"/>
  <c r="BU17" i="12"/>
  <c r="CE13" i="12"/>
  <c r="CE11" i="12"/>
  <c r="BU18" i="12"/>
  <c r="BT14" i="12"/>
  <c r="CU19" i="12"/>
  <c r="DS16" i="12"/>
  <c r="BA13" i="12"/>
  <c r="BA19" i="12"/>
  <c r="AZ24" i="12"/>
  <c r="BA12" i="12"/>
  <c r="BA25" i="12"/>
  <c r="BA15" i="12"/>
  <c r="BA26" i="12"/>
  <c r="BA22" i="12"/>
  <c r="BA16" i="12"/>
  <c r="BK13" i="12"/>
  <c r="BJ12" i="12"/>
  <c r="BG20" i="12"/>
  <c r="BG25" i="12"/>
  <c r="BK21" i="12"/>
  <c r="BG11" i="12"/>
  <c r="BK26" i="12"/>
  <c r="BJ22" i="12"/>
  <c r="BK16" i="12"/>
  <c r="BK10" i="12"/>
  <c r="DE17" i="12" l="1"/>
  <c r="DO17" i="12"/>
  <c r="DE14" i="12"/>
  <c r="DO14" i="12"/>
  <c r="DE22" i="12"/>
  <c r="DO22" i="12"/>
  <c r="DE12" i="12"/>
  <c r="DG12" i="12" s="1"/>
  <c r="DO12" i="12"/>
  <c r="DJ12" i="12"/>
  <c r="DE11" i="12"/>
  <c r="DO11" i="12"/>
  <c r="DO20" i="12"/>
  <c r="DE20" i="12"/>
  <c r="DE16" i="12"/>
  <c r="DO16" i="12"/>
  <c r="CU18" i="12"/>
  <c r="CD14" i="12"/>
  <c r="CO17" i="12"/>
  <c r="CK10" i="12"/>
  <c r="BQ27" i="12"/>
  <c r="BT23" i="12"/>
  <c r="CO23" i="12"/>
  <c r="CK28" i="12"/>
  <c r="CD12" i="12"/>
  <c r="CE19" i="12"/>
  <c r="CO14" i="12"/>
  <c r="CA11" i="12"/>
  <c r="CA14" i="12"/>
  <c r="CA19" i="12"/>
  <c r="BT27" i="12"/>
  <c r="CK16" i="12"/>
  <c r="BU16" i="12"/>
  <c r="CD22" i="12"/>
  <c r="CD13" i="12"/>
  <c r="BQ12" i="12"/>
  <c r="CO11" i="12"/>
  <c r="CO22" i="12"/>
  <c r="BT12" i="12"/>
  <c r="BV12" i="12" s="1"/>
  <c r="CK22" i="12"/>
  <c r="CO12" i="12"/>
  <c r="CU22" i="12"/>
  <c r="CA22" i="12"/>
  <c r="CK11" i="12"/>
  <c r="CO28" i="12"/>
  <c r="BU27" i="12"/>
  <c r="DR22" i="12"/>
  <c r="CK12" i="12"/>
  <c r="DS22" i="12"/>
  <c r="BU15" i="12"/>
  <c r="BT10" i="12"/>
  <c r="CU16" i="12"/>
  <c r="CO19" i="12"/>
  <c r="CY17" i="12"/>
  <c r="BU11" i="12"/>
  <c r="CD19" i="12"/>
  <c r="CN10" i="12"/>
  <c r="CN17" i="12"/>
  <c r="CO20" i="12"/>
  <c r="CN23" i="12"/>
  <c r="BQ19" i="12"/>
  <c r="CK19" i="12"/>
  <c r="BU13" i="12"/>
  <c r="FN13" i="12" s="1"/>
  <c r="CK17" i="12"/>
  <c r="CK18" i="12"/>
  <c r="BQ22" i="12"/>
  <c r="BU14" i="12"/>
  <c r="BT17" i="12"/>
  <c r="CE12" i="12"/>
  <c r="CX16" i="12"/>
  <c r="CN28" i="12"/>
  <c r="BQ17" i="12"/>
  <c r="BT22" i="12"/>
  <c r="CD11" i="12"/>
  <c r="DR16" i="12"/>
  <c r="CA16" i="12"/>
  <c r="BU20" i="12"/>
  <c r="BQ13" i="12"/>
  <c r="BQ16" i="12"/>
  <c r="BQ14" i="12"/>
  <c r="CA13" i="12"/>
  <c r="BT15" i="12"/>
  <c r="BT13" i="12"/>
  <c r="BT16" i="12"/>
  <c r="BU22" i="12"/>
  <c r="CE22" i="12"/>
  <c r="CN20" i="12"/>
  <c r="CN14" i="12"/>
  <c r="CX17" i="12"/>
  <c r="BQ15" i="12"/>
  <c r="CD16" i="12"/>
  <c r="CK14" i="12"/>
  <c r="CK20" i="12"/>
  <c r="BT19" i="12"/>
  <c r="BQ10" i="12"/>
  <c r="CE16" i="12"/>
  <c r="CN16" i="12"/>
  <c r="CX22" i="12"/>
  <c r="CN19" i="12"/>
  <c r="CN12" i="12"/>
  <c r="BQ11" i="12"/>
  <c r="CY20" i="12"/>
  <c r="CE28" i="12"/>
  <c r="CD17" i="12"/>
  <c r="BQ21" i="12"/>
  <c r="CU14" i="12"/>
  <c r="BT18" i="12"/>
  <c r="CA17" i="12"/>
  <c r="BQ20" i="12"/>
  <c r="CX23" i="12"/>
  <c r="CY23" i="12"/>
  <c r="CX14" i="12"/>
  <c r="CU23" i="12"/>
  <c r="DR17" i="12"/>
  <c r="CD28" i="12"/>
  <c r="CX19" i="12"/>
  <c r="BQ18" i="12"/>
  <c r="CD20" i="12"/>
  <c r="CY19" i="12"/>
  <c r="CX11" i="12"/>
  <c r="CU11" i="12"/>
  <c r="CE20" i="12"/>
  <c r="CY11" i="12"/>
  <c r="CU20" i="12"/>
  <c r="CA20" i="12"/>
  <c r="AW24" i="12"/>
  <c r="AW18" i="12"/>
  <c r="AZ14" i="12"/>
  <c r="BA17" i="12"/>
  <c r="BA24" i="12"/>
  <c r="AW12" i="12"/>
  <c r="AW14" i="12"/>
  <c r="AZ12" i="12"/>
  <c r="BB12" i="12" s="1"/>
  <c r="BA14" i="12"/>
  <c r="BA18" i="12"/>
  <c r="AZ18" i="12"/>
  <c r="AW17" i="12"/>
  <c r="AZ17" i="12"/>
  <c r="AW26" i="12"/>
  <c r="BA21" i="12"/>
  <c r="FN21" i="12" s="1"/>
  <c r="AW21" i="12"/>
  <c r="AZ21" i="12"/>
  <c r="BJ14" i="12"/>
  <c r="BK12" i="12"/>
  <c r="BL12" i="12" s="1"/>
  <c r="AZ26" i="12"/>
  <c r="BG18" i="12"/>
  <c r="BJ23" i="12"/>
  <c r="BJ17" i="12"/>
  <c r="AZ16" i="12"/>
  <c r="BK17" i="12"/>
  <c r="BJ20" i="12"/>
  <c r="AW15" i="12"/>
  <c r="AW20" i="12"/>
  <c r="BA20" i="12"/>
  <c r="AZ20" i="12"/>
  <c r="AZ13" i="12"/>
  <c r="AW13" i="12"/>
  <c r="AZ11" i="12"/>
  <c r="AW11" i="12"/>
  <c r="BA11" i="12"/>
  <c r="AZ22" i="12"/>
  <c r="AW22" i="12"/>
  <c r="AW16" i="12"/>
  <c r="AZ19" i="12"/>
  <c r="BG26" i="12"/>
  <c r="BG17" i="12"/>
  <c r="AW25" i="12"/>
  <c r="AW19" i="12"/>
  <c r="AZ15" i="12"/>
  <c r="BJ26" i="12"/>
  <c r="BG21" i="12"/>
  <c r="BJ21" i="12"/>
  <c r="BK14" i="12"/>
  <c r="BK23" i="12"/>
  <c r="BG10" i="12"/>
  <c r="BJ18" i="12"/>
  <c r="BK18" i="12"/>
  <c r="BG23" i="12"/>
  <c r="BG12" i="12"/>
  <c r="BG14" i="12"/>
  <c r="BJ10" i="12"/>
  <c r="BK19" i="12"/>
  <c r="BJ25" i="12"/>
  <c r="BJ15" i="12"/>
  <c r="BG15" i="12"/>
  <c r="BK25" i="12"/>
  <c r="BK15" i="12"/>
  <c r="BG19" i="12"/>
  <c r="BJ19" i="12"/>
  <c r="BJ16" i="12"/>
  <c r="BG16" i="12"/>
  <c r="BK22" i="12"/>
  <c r="AW10" i="12"/>
  <c r="BA10" i="12"/>
  <c r="BA23" i="12"/>
  <c r="BJ11" i="12"/>
  <c r="BK27" i="12"/>
  <c r="BJ27" i="12"/>
  <c r="AZ10" i="12"/>
  <c r="AZ23" i="12"/>
  <c r="BK11" i="12"/>
  <c r="BJ13" i="12"/>
  <c r="AZ28" i="12"/>
  <c r="BA28" i="12"/>
  <c r="AW23" i="12"/>
  <c r="BG13" i="12"/>
  <c r="BK28" i="12"/>
  <c r="BJ28" i="12"/>
  <c r="BG22" i="12"/>
  <c r="BK20" i="12"/>
  <c r="AZ27" i="12"/>
  <c r="BA27" i="12"/>
  <c r="BG28" i="12"/>
  <c r="BG27" i="12"/>
  <c r="AW28" i="12"/>
  <c r="AW27" i="12"/>
  <c r="DF16" i="12"/>
  <c r="DF17" i="12"/>
  <c r="DF19" i="12"/>
  <c r="DF22" i="12"/>
  <c r="DF23" i="12"/>
  <c r="DF14" i="12"/>
  <c r="DF11" i="12"/>
  <c r="DF20" i="12"/>
  <c r="FN16" i="12" l="1"/>
  <c r="FN18" i="12"/>
  <c r="FN19" i="12"/>
  <c r="FM21" i="12"/>
  <c r="FS21" i="12" s="1"/>
  <c r="FN23" i="12"/>
  <c r="FM22" i="12"/>
  <c r="FM27" i="12"/>
  <c r="FM28" i="12"/>
  <c r="FN12" i="12"/>
  <c r="FM23" i="12"/>
  <c r="FO19" i="12"/>
  <c r="FO22" i="12"/>
  <c r="FM19" i="12"/>
  <c r="FM12" i="12"/>
  <c r="FN14" i="12"/>
  <c r="FM20" i="12"/>
  <c r="FO23" i="12"/>
  <c r="FO21" i="12"/>
  <c r="FM11" i="12"/>
  <c r="FM14" i="12"/>
  <c r="FN20" i="12"/>
  <c r="FN17" i="12"/>
  <c r="FN27" i="12"/>
  <c r="FS27" i="12" s="1"/>
  <c r="FN28" i="12"/>
  <c r="FS28" i="12" s="1"/>
  <c r="FO20" i="12"/>
  <c r="FO14" i="12"/>
  <c r="FO11" i="12"/>
  <c r="FN11" i="12"/>
  <c r="FM18" i="12"/>
  <c r="FM16" i="12"/>
  <c r="FS16" i="12" s="1"/>
  <c r="FM13" i="12"/>
  <c r="FS13" i="12" s="1"/>
  <c r="FO17" i="12"/>
  <c r="FM17" i="12"/>
  <c r="FO13" i="12"/>
  <c r="FN22" i="12"/>
  <c r="FO18" i="12"/>
  <c r="FO12" i="12"/>
  <c r="FO28" i="12"/>
  <c r="FO16" i="12"/>
  <c r="CF12" i="12"/>
  <c r="L12" i="12"/>
  <c r="CP12" i="12"/>
  <c r="BR13" i="12"/>
  <c r="CL28" i="12"/>
  <c r="CV18" i="12"/>
  <c r="CB11" i="12"/>
  <c r="CL17" i="12"/>
  <c r="CL11" i="12"/>
  <c r="CB14" i="12"/>
  <c r="BR14" i="12"/>
  <c r="CB16" i="12"/>
  <c r="CL23" i="12"/>
  <c r="CB21" i="12"/>
  <c r="CB12" i="12"/>
  <c r="CC12" i="12" s="1"/>
  <c r="CB22" i="12"/>
  <c r="CL10" i="12"/>
  <c r="BR23" i="12"/>
  <c r="CB19" i="12"/>
  <c r="CV23" i="12"/>
  <c r="CV11" i="12"/>
  <c r="CV22" i="12"/>
  <c r="DP22" i="12"/>
  <c r="BR10" i="12"/>
  <c r="CL14" i="12"/>
  <c r="BR15" i="12"/>
  <c r="CL12" i="12"/>
  <c r="CM12" i="12" s="1"/>
  <c r="DP16" i="12"/>
  <c r="CV16" i="12"/>
  <c r="CV14" i="12"/>
  <c r="CV17" i="12"/>
  <c r="BR11" i="12"/>
  <c r="CL16" i="12"/>
  <c r="CL20" i="12"/>
  <c r="BR20" i="12"/>
  <c r="CB20" i="12"/>
  <c r="BR18" i="12"/>
  <c r="DP12" i="12"/>
  <c r="CV19" i="12"/>
  <c r="DP20" i="12"/>
  <c r="CB13" i="12"/>
  <c r="BR16" i="12"/>
  <c r="BR27" i="12"/>
  <c r="BR12" i="12"/>
  <c r="BS12" i="12" s="1"/>
  <c r="H12" i="12" s="1"/>
  <c r="CB17" i="12"/>
  <c r="CL19" i="12"/>
  <c r="DP11" i="12"/>
  <c r="CL22" i="12"/>
  <c r="BR19" i="12"/>
  <c r="DP14" i="12"/>
  <c r="CV20" i="12"/>
  <c r="BR22" i="12"/>
  <c r="DP17" i="12"/>
  <c r="CB28" i="12"/>
  <c r="BR17" i="12"/>
  <c r="BH18" i="12"/>
  <c r="AX14" i="12"/>
  <c r="BH14" i="12"/>
  <c r="AX24" i="12"/>
  <c r="AX21" i="12"/>
  <c r="AX12" i="12"/>
  <c r="AY12" i="12" s="1"/>
  <c r="AX18" i="12"/>
  <c r="AX23" i="12"/>
  <c r="AX11" i="12"/>
  <c r="BH12" i="12"/>
  <c r="BI12" i="12" s="1"/>
  <c r="G12" i="12" s="1"/>
  <c r="BH23" i="12"/>
  <c r="AX26" i="12"/>
  <c r="AX17" i="12"/>
  <c r="BH10" i="12"/>
  <c r="AX13" i="12"/>
  <c r="AX16" i="12"/>
  <c r="BH17" i="12"/>
  <c r="AX15" i="12"/>
  <c r="AX20" i="12"/>
  <c r="AX22" i="12"/>
  <c r="AX25" i="12"/>
  <c r="AX19" i="12"/>
  <c r="BH21" i="12"/>
  <c r="BH26" i="12"/>
  <c r="BH25" i="12"/>
  <c r="BH13" i="12"/>
  <c r="BH19" i="12"/>
  <c r="BH11" i="12"/>
  <c r="BH20" i="12"/>
  <c r="BH15" i="12"/>
  <c r="BH16" i="12"/>
  <c r="BH22" i="12"/>
  <c r="BH27" i="12"/>
  <c r="BH28" i="12"/>
  <c r="AX28" i="12"/>
  <c r="AX27" i="12"/>
  <c r="FS11" i="12" l="1"/>
  <c r="FS20" i="12"/>
  <c r="FS22" i="12"/>
  <c r="FS17" i="12"/>
  <c r="FS23" i="12"/>
  <c r="FS19" i="12"/>
  <c r="FS18" i="12"/>
  <c r="FS12" i="12"/>
  <c r="FS14" i="12"/>
  <c r="I12" i="12"/>
  <c r="FN8" i="12"/>
  <c r="E149" i="17" s="1"/>
  <c r="FP19" i="12"/>
  <c r="FP23" i="12"/>
  <c r="FM8" i="12"/>
  <c r="E148" i="17" s="1"/>
  <c r="FP14" i="12"/>
  <c r="FP13" i="12"/>
  <c r="FP20" i="12"/>
  <c r="FP11" i="12"/>
  <c r="FP22" i="12"/>
  <c r="DQ12" i="12"/>
  <c r="M12" i="12" s="1"/>
  <c r="FP12" i="12"/>
  <c r="FP21" i="12"/>
  <c r="FP18" i="12"/>
  <c r="FP17" i="12"/>
  <c r="FP28" i="12"/>
  <c r="FP16" i="12"/>
  <c r="FP27" i="12"/>
  <c r="AI12" i="12"/>
  <c r="X12" i="12"/>
  <c r="R12" i="12"/>
  <c r="Y12" i="12" s="1" a="1"/>
  <c r="Y12" i="12" s="1"/>
  <c r="F12" i="12"/>
  <c r="J12" i="12"/>
  <c r="E150" i="17" l="1"/>
  <c r="AK12" i="12"/>
  <c r="FR12" i="12"/>
  <c r="G160" i="17"/>
  <c r="G161" i="17"/>
  <c r="F121" i="16"/>
  <c r="J121" i="16" s="1"/>
  <c r="W12" i="12"/>
  <c r="Z12" i="12" s="1"/>
  <c r="AN12" i="12" s="1"/>
  <c r="AH12" i="12"/>
  <c r="FP8" i="12"/>
  <c r="G162" i="17" l="1"/>
  <c r="AJ12" i="12"/>
  <c r="FQ12" i="12"/>
  <c r="E121" i="16"/>
  <c r="I121" i="16" s="1"/>
  <c r="H4" i="21"/>
  <c r="M2" i="21"/>
  <c r="O2" i="21"/>
  <c r="B4" i="21"/>
  <c r="B5" i="21"/>
  <c r="AW5" i="21"/>
  <c r="AX5" i="21"/>
  <c r="AY5" i="21"/>
  <c r="AZ5" i="21"/>
  <c r="BA5" i="21"/>
  <c r="BB5" i="21"/>
  <c r="BC5" i="21"/>
  <c r="BD5" i="21"/>
  <c r="BE5" i="21"/>
  <c r="BF5" i="21"/>
  <c r="BG5" i="21"/>
  <c r="BW5" i="21"/>
  <c r="B6" i="21"/>
  <c r="AW6" i="21"/>
  <c r="AX6" i="21"/>
  <c r="AY6" i="21"/>
  <c r="AZ6" i="21"/>
  <c r="BA6" i="21"/>
  <c r="BB6" i="21"/>
  <c r="BC6" i="21"/>
  <c r="BD6" i="21"/>
  <c r="BE6" i="21"/>
  <c r="BF6" i="21"/>
  <c r="BG6" i="21"/>
  <c r="BW6" i="21"/>
  <c r="B7" i="21"/>
  <c r="AW7" i="21"/>
  <c r="AX7" i="21"/>
  <c r="AY7" i="21"/>
  <c r="AZ7" i="21"/>
  <c r="BA7" i="21"/>
  <c r="BB7" i="21"/>
  <c r="BC7" i="21"/>
  <c r="BD7" i="21"/>
  <c r="BE7" i="21"/>
  <c r="BF7" i="21"/>
  <c r="BG7" i="21"/>
  <c r="BW7" i="21"/>
  <c r="B8" i="21"/>
  <c r="AW8" i="21"/>
  <c r="AX8" i="21"/>
  <c r="AY8" i="21"/>
  <c r="AZ8" i="21"/>
  <c r="BA8" i="21"/>
  <c r="BB8" i="21"/>
  <c r="BC8" i="21"/>
  <c r="BD8" i="21"/>
  <c r="BE8" i="21"/>
  <c r="BF8" i="21"/>
  <c r="BG8" i="21"/>
  <c r="BW8" i="21"/>
  <c r="B9" i="21"/>
  <c r="AW9" i="21"/>
  <c r="AX9" i="21"/>
  <c r="AY9" i="21"/>
  <c r="AZ9" i="21"/>
  <c r="BA9" i="21"/>
  <c r="BB9" i="21"/>
  <c r="BC9" i="21"/>
  <c r="BD9" i="21"/>
  <c r="BE9" i="21"/>
  <c r="BF9" i="21"/>
  <c r="BG9" i="21"/>
  <c r="BW9" i="21"/>
  <c r="B10" i="21"/>
  <c r="AW10" i="21"/>
  <c r="AX10" i="21"/>
  <c r="AY10" i="21"/>
  <c r="AZ10" i="21"/>
  <c r="BA10" i="21"/>
  <c r="BB10" i="21"/>
  <c r="BC10" i="21"/>
  <c r="BD10" i="21"/>
  <c r="BE10" i="21"/>
  <c r="BF10" i="21"/>
  <c r="BG10" i="21"/>
  <c r="BH10" i="21"/>
  <c r="BW10" i="21"/>
  <c r="B11" i="21"/>
  <c r="B12" i="21"/>
  <c r="B13" i="21"/>
  <c r="B14" i="21"/>
  <c r="B15" i="21"/>
  <c r="AW15" i="21"/>
  <c r="B16" i="21"/>
  <c r="AW16" i="21"/>
  <c r="B17" i="21"/>
  <c r="AW17" i="21"/>
  <c r="B18" i="21"/>
  <c r="AW18" i="21"/>
  <c r="B19" i="21"/>
  <c r="AW19" i="21"/>
  <c r="B20" i="21"/>
  <c r="AW20" i="21"/>
  <c r="B21" i="21"/>
  <c r="AW21" i="21"/>
  <c r="B22" i="21"/>
  <c r="AW22" i="21"/>
  <c r="B23" i="21"/>
  <c r="AW23" i="21"/>
  <c r="B24" i="21"/>
  <c r="AW24" i="21"/>
  <c r="B25" i="21"/>
  <c r="AW25" i="21"/>
  <c r="B26" i="21"/>
  <c r="AW26" i="21"/>
  <c r="B27" i="21"/>
  <c r="AW27" i="21"/>
  <c r="B28" i="21"/>
  <c r="AW28" i="21"/>
  <c r="B29" i="21"/>
  <c r="AW29" i="21"/>
  <c r="B30" i="21"/>
  <c r="AW30" i="21"/>
  <c r="B31" i="21"/>
  <c r="AW31" i="21"/>
  <c r="B32" i="21"/>
  <c r="AW32" i="21"/>
  <c r="B33" i="21"/>
  <c r="AW33" i="21"/>
  <c r="B34" i="21"/>
  <c r="AW34" i="21"/>
  <c r="B35" i="21"/>
  <c r="AW35" i="21"/>
  <c r="B36" i="21"/>
  <c r="B37" i="21"/>
  <c r="B38" i="21"/>
  <c r="B39" i="21"/>
  <c r="B40" i="21"/>
  <c r="B41" i="21"/>
  <c r="B42" i="21"/>
  <c r="B43" i="21"/>
  <c r="B44" i="21"/>
  <c r="B45" i="21"/>
  <c r="B46" i="21"/>
  <c r="B47" i="21"/>
  <c r="B48" i="21"/>
  <c r="B49" i="21"/>
  <c r="B50" i="21"/>
  <c r="B51" i="21"/>
  <c r="B52" i="21"/>
  <c r="B53" i="21"/>
  <c r="B54" i="21"/>
  <c r="B55" i="21"/>
  <c r="B56" i="21"/>
  <c r="B57" i="21"/>
  <c r="B58" i="21"/>
  <c r="B59" i="21"/>
  <c r="B60" i="21"/>
  <c r="B61" i="21"/>
  <c r="B62" i="21"/>
  <c r="B63" i="21"/>
  <c r="B64" i="21"/>
  <c r="B65" i="21"/>
  <c r="B66" i="21"/>
  <c r="B67" i="21"/>
  <c r="B68" i="21"/>
  <c r="B69" i="21"/>
  <c r="B70" i="21"/>
  <c r="B71" i="21"/>
  <c r="B72" i="21"/>
  <c r="B73" i="21"/>
  <c r="B74" i="21"/>
  <c r="B75" i="21"/>
  <c r="B76" i="21"/>
  <c r="B77" i="21"/>
  <c r="B78" i="21"/>
  <c r="B79" i="21"/>
  <c r="B80" i="21"/>
  <c r="B81" i="21"/>
  <c r="B82" i="21"/>
  <c r="B83" i="21"/>
  <c r="B84" i="21"/>
  <c r="B85" i="21"/>
  <c r="B86" i="21"/>
  <c r="B87" i="21"/>
  <c r="B88" i="21"/>
  <c r="B89" i="21"/>
  <c r="B90" i="21"/>
  <c r="B91" i="21"/>
  <c r="B92" i="21"/>
  <c r="B93" i="21"/>
  <c r="B94" i="21"/>
  <c r="B95" i="21"/>
  <c r="B96" i="21"/>
  <c r="B97" i="21"/>
  <c r="B98" i="21"/>
  <c r="B99" i="21"/>
  <c r="B100" i="21"/>
  <c r="CM23" i="14"/>
  <c r="CR16" i="13"/>
  <c r="CQ16" i="13"/>
  <c r="CO16" i="13"/>
  <c r="B12" i="20"/>
  <c r="BQ9" i="21" l="1"/>
  <c r="BR9" i="21"/>
  <c r="BS9" i="21"/>
  <c r="BT9" i="21"/>
  <c r="BJ9" i="21"/>
  <c r="BK9" i="21"/>
  <c r="BL9" i="21"/>
  <c r="BM9" i="21"/>
  <c r="BN9" i="21"/>
  <c r="BQ8" i="21"/>
  <c r="BR8" i="21"/>
  <c r="BS8" i="21"/>
  <c r="BT8" i="21"/>
  <c r="I2" i="21"/>
  <c r="BJ8" i="21"/>
  <c r="BK8" i="21"/>
  <c r="BL8" i="21"/>
  <c r="BM8" i="21"/>
  <c r="BN8" i="21"/>
  <c r="G2" i="21"/>
  <c r="L2" i="21" s="1"/>
  <c r="BQ7" i="21"/>
  <c r="BR7" i="21"/>
  <c r="BS7" i="21"/>
  <c r="BT7" i="21"/>
  <c r="BJ7" i="21"/>
  <c r="BK7" i="21"/>
  <c r="BL7" i="21"/>
  <c r="BM7" i="21"/>
  <c r="BN7" i="21"/>
  <c r="BQ6" i="21"/>
  <c r="BR6" i="21"/>
  <c r="BS6" i="21"/>
  <c r="BT6" i="21"/>
  <c r="BJ6" i="21"/>
  <c r="BK6" i="21"/>
  <c r="BL6" i="21"/>
  <c r="BM6" i="21"/>
  <c r="BN6" i="21"/>
  <c r="BQ5" i="21"/>
  <c r="BQ10" i="21" s="1"/>
  <c r="BR5" i="21"/>
  <c r="BR10" i="21" s="1"/>
  <c r="BS5" i="21"/>
  <c r="BS10" i="21" s="1"/>
  <c r="BT5" i="21"/>
  <c r="BT10" i="21" s="1"/>
  <c r="BJ5" i="21"/>
  <c r="BJ10" i="21" s="1"/>
  <c r="BK5" i="21"/>
  <c r="BK10" i="21" s="1"/>
  <c r="BL5" i="21"/>
  <c r="BL10" i="21" s="1"/>
  <c r="BM5" i="21"/>
  <c r="BM10" i="21" s="1"/>
  <c r="BN5" i="21"/>
  <c r="BN10" i="21" s="1"/>
  <c r="H2" i="21"/>
  <c r="F2" i="21"/>
  <c r="K2" i="21" s="1"/>
  <c r="BO10" i="21" l="1"/>
  <c r="BU10" i="21"/>
  <c r="CL19" i="11" l="1"/>
  <c r="AN32" i="13" l="1"/>
  <c r="CB19" i="11" l="1"/>
  <c r="DF19" i="11"/>
  <c r="FP19" i="11" s="1"/>
  <c r="FP8" i="11" s="1"/>
  <c r="H147" i="17" s="1"/>
  <c r="CM15" i="14"/>
  <c r="BV22" i="14"/>
  <c r="CL11" i="13" l="1"/>
  <c r="CB11" i="13"/>
  <c r="BN12" i="13" l="1"/>
  <c r="BM12" i="13"/>
  <c r="BK12" i="13"/>
  <c r="DJ13" i="11" l="1"/>
  <c r="S68" i="17" l="1"/>
  <c r="G77" i="17"/>
  <c r="Q2" i="17" l="1"/>
  <c r="O2" i="17"/>
  <c r="BY6" i="17" l="1"/>
  <c r="BY7" i="17"/>
  <c r="BY8" i="17"/>
  <c r="BY9" i="17"/>
  <c r="BY5" i="17"/>
  <c r="BG6" i="17"/>
  <c r="BG7" i="17"/>
  <c r="BG8" i="17"/>
  <c r="BG9" i="17"/>
  <c r="BG5" i="17"/>
  <c r="BY10" i="17" l="1"/>
  <c r="BG10" i="17"/>
  <c r="S62" i="17" l="1"/>
  <c r="AY9" i="17"/>
  <c r="AY5" i="17"/>
  <c r="BA5" i="17"/>
  <c r="BB5" i="17"/>
  <c r="BC5" i="17"/>
  <c r="BD5" i="17"/>
  <c r="BE5" i="17"/>
  <c r="BF5" i="17"/>
  <c r="BH5" i="17"/>
  <c r="BI5" i="17"/>
  <c r="BA6" i="17"/>
  <c r="BB6" i="17"/>
  <c r="BC6" i="17"/>
  <c r="BD6" i="17"/>
  <c r="BE6" i="17"/>
  <c r="BF6" i="17"/>
  <c r="BH6" i="17"/>
  <c r="BI6" i="17"/>
  <c r="BA7" i="17"/>
  <c r="BB7" i="17"/>
  <c r="BC7" i="17"/>
  <c r="BD7" i="17"/>
  <c r="BE7" i="17"/>
  <c r="BF7" i="17"/>
  <c r="BH7" i="17"/>
  <c r="BI7" i="17"/>
  <c r="BA8" i="17"/>
  <c r="BB8" i="17"/>
  <c r="BC8" i="17"/>
  <c r="BD8" i="17"/>
  <c r="BE8" i="17"/>
  <c r="BF8" i="17"/>
  <c r="BH8" i="17"/>
  <c r="BI8" i="17"/>
  <c r="BA9" i="17"/>
  <c r="BB9" i="17"/>
  <c r="BC9" i="17"/>
  <c r="BD9" i="17"/>
  <c r="BE9" i="17"/>
  <c r="BF9" i="17"/>
  <c r="BH9" i="17"/>
  <c r="BI9" i="17"/>
  <c r="AZ5" i="17"/>
  <c r="BB10" i="17" l="1"/>
  <c r="BA10" i="17"/>
  <c r="BC10" i="17"/>
  <c r="BD10" i="17"/>
  <c r="BE10" i="17"/>
  <c r="BH10" i="17"/>
  <c r="BF10" i="17"/>
  <c r="BI10" i="17"/>
  <c r="FG37" i="19" l="1"/>
  <c r="FD37" i="19"/>
  <c r="EW37" i="19"/>
  <c r="ET37" i="19"/>
  <c r="EM37" i="19"/>
  <c r="EJ37" i="19"/>
  <c r="EC37" i="19"/>
  <c r="DZ37" i="19"/>
  <c r="DS37" i="19"/>
  <c r="DP37" i="19"/>
  <c r="DI37" i="19"/>
  <c r="DF37" i="19"/>
  <c r="CY37" i="19"/>
  <c r="CV37" i="19"/>
  <c r="CO37" i="19"/>
  <c r="CL37" i="19"/>
  <c r="CE37" i="19"/>
  <c r="CB37" i="19"/>
  <c r="BU37" i="19"/>
  <c r="BR37" i="19"/>
  <c r="BK37" i="19"/>
  <c r="BH37" i="19"/>
  <c r="BA37" i="19"/>
  <c r="AX37" i="19"/>
  <c r="R37" i="19"/>
  <c r="Q37" i="19"/>
  <c r="P37" i="19"/>
  <c r="O37" i="19"/>
  <c r="N37" i="19"/>
  <c r="M37" i="19"/>
  <c r="L37" i="19"/>
  <c r="K37" i="19"/>
  <c r="J37" i="19"/>
  <c r="I37" i="19"/>
  <c r="H37" i="19"/>
  <c r="G37" i="19"/>
  <c r="FG36" i="19"/>
  <c r="FD36" i="19"/>
  <c r="EW36" i="19"/>
  <c r="ET36" i="19"/>
  <c r="EM36" i="19"/>
  <c r="EJ36" i="19"/>
  <c r="EC36" i="19"/>
  <c r="DZ36" i="19"/>
  <c r="DS36" i="19"/>
  <c r="DP36" i="19"/>
  <c r="DI36" i="19"/>
  <c r="DF36" i="19"/>
  <c r="CY36" i="19"/>
  <c r="CV36" i="19"/>
  <c r="CO36" i="19"/>
  <c r="CL36" i="19"/>
  <c r="CE36" i="19"/>
  <c r="CB36" i="19"/>
  <c r="BU36" i="19"/>
  <c r="BR36" i="19"/>
  <c r="BK36" i="19"/>
  <c r="BH36" i="19"/>
  <c r="BA36" i="19"/>
  <c r="AX36" i="19"/>
  <c r="R36" i="19"/>
  <c r="Q36" i="19"/>
  <c r="P36" i="19"/>
  <c r="O36" i="19"/>
  <c r="N36" i="19"/>
  <c r="M36" i="19"/>
  <c r="L36" i="19"/>
  <c r="FG33" i="19"/>
  <c r="FD33" i="19"/>
  <c r="EW33" i="19"/>
  <c r="ET33" i="19"/>
  <c r="EM33" i="19"/>
  <c r="EJ33" i="19"/>
  <c r="EC33" i="19"/>
  <c r="DZ33" i="19"/>
  <c r="DS33" i="19"/>
  <c r="DP33" i="19"/>
  <c r="DI33" i="19"/>
  <c r="DF33" i="19"/>
  <c r="CY33" i="19"/>
  <c r="CV33" i="19"/>
  <c r="CO33" i="19"/>
  <c r="CL33" i="19"/>
  <c r="CE33" i="19"/>
  <c r="CB33" i="19"/>
  <c r="BU33" i="19"/>
  <c r="BR33" i="19"/>
  <c r="BK33" i="19"/>
  <c r="BH33" i="19"/>
  <c r="BA33" i="19"/>
  <c r="AX33" i="19"/>
  <c r="R33" i="19"/>
  <c r="Q33" i="19"/>
  <c r="P33" i="19"/>
  <c r="O33" i="19"/>
  <c r="N33" i="19"/>
  <c r="M33" i="19"/>
  <c r="L33" i="19"/>
  <c r="FG32" i="19"/>
  <c r="FD32" i="19"/>
  <c r="EW32" i="19"/>
  <c r="ET32" i="19"/>
  <c r="EM32" i="19"/>
  <c r="EJ32" i="19"/>
  <c r="EC32" i="19"/>
  <c r="DZ32" i="19"/>
  <c r="DS32" i="19"/>
  <c r="DP32" i="19"/>
  <c r="DI32" i="19"/>
  <c r="DF32" i="19"/>
  <c r="CY32" i="19"/>
  <c r="CV32" i="19"/>
  <c r="CO32" i="19"/>
  <c r="CL32" i="19"/>
  <c r="CE32" i="19"/>
  <c r="CB32" i="19"/>
  <c r="BU32" i="19"/>
  <c r="BR32" i="19"/>
  <c r="BK32" i="19"/>
  <c r="BH32" i="19"/>
  <c r="BA32" i="19"/>
  <c r="AX32" i="19"/>
  <c r="R32" i="19"/>
  <c r="Q32" i="19"/>
  <c r="P32" i="19"/>
  <c r="O32" i="19"/>
  <c r="N32" i="19"/>
  <c r="M32" i="19"/>
  <c r="L32" i="19"/>
  <c r="FG31" i="19"/>
  <c r="FD31" i="19"/>
  <c r="EW31" i="19"/>
  <c r="ET31" i="19"/>
  <c r="EM31" i="19"/>
  <c r="EJ31" i="19"/>
  <c r="EC31" i="19"/>
  <c r="DZ31" i="19"/>
  <c r="DS31" i="19"/>
  <c r="DP31" i="19"/>
  <c r="DI31" i="19"/>
  <c r="DF31" i="19"/>
  <c r="CY31" i="19"/>
  <c r="CV31" i="19"/>
  <c r="CO31" i="19"/>
  <c r="CL31" i="19"/>
  <c r="CE31" i="19"/>
  <c r="CB31" i="19"/>
  <c r="BU31" i="19"/>
  <c r="BR31" i="19"/>
  <c r="BK31" i="19"/>
  <c r="BH31" i="19"/>
  <c r="BA31" i="19"/>
  <c r="AX31" i="19"/>
  <c r="R31" i="19"/>
  <c r="Q31" i="19"/>
  <c r="P31" i="19"/>
  <c r="O31" i="19"/>
  <c r="N31" i="19"/>
  <c r="M31" i="19"/>
  <c r="L31" i="19"/>
  <c r="K31" i="19"/>
  <c r="FG30" i="19"/>
  <c r="FD30" i="19"/>
  <c r="EW30" i="19"/>
  <c r="ET30" i="19"/>
  <c r="EM30" i="19"/>
  <c r="EJ30" i="19"/>
  <c r="EC30" i="19"/>
  <c r="DZ30" i="19"/>
  <c r="DS30" i="19"/>
  <c r="DP30" i="19"/>
  <c r="DI30" i="19"/>
  <c r="DF30" i="19"/>
  <c r="CY30" i="19"/>
  <c r="CV30" i="19"/>
  <c r="CO30" i="19"/>
  <c r="CL30" i="19"/>
  <c r="CE30" i="19"/>
  <c r="CB30" i="19"/>
  <c r="BU30" i="19"/>
  <c r="BR30" i="19"/>
  <c r="BK30" i="19"/>
  <c r="BH30" i="19"/>
  <c r="BA30" i="19"/>
  <c r="AX30" i="19"/>
  <c r="R30" i="19"/>
  <c r="Q30" i="19"/>
  <c r="P30" i="19"/>
  <c r="O30" i="19"/>
  <c r="N30" i="19"/>
  <c r="M30" i="19"/>
  <c r="FG29" i="19"/>
  <c r="FD29" i="19"/>
  <c r="EW29" i="19"/>
  <c r="ET29" i="19"/>
  <c r="EM29" i="19"/>
  <c r="EJ29" i="19"/>
  <c r="EC29" i="19"/>
  <c r="DZ29" i="19"/>
  <c r="DS29" i="19"/>
  <c r="DP29" i="19"/>
  <c r="DI29" i="19"/>
  <c r="DF29" i="19"/>
  <c r="CY29" i="19"/>
  <c r="CV29" i="19"/>
  <c r="CO29" i="19"/>
  <c r="CL29" i="19"/>
  <c r="CE29" i="19"/>
  <c r="CB29" i="19"/>
  <c r="BU29" i="19"/>
  <c r="BR29" i="19"/>
  <c r="BK29" i="19"/>
  <c r="BH29" i="19"/>
  <c r="BA29" i="19"/>
  <c r="AX29" i="19"/>
  <c r="R29" i="19"/>
  <c r="Q29" i="19"/>
  <c r="P29" i="19"/>
  <c r="O29" i="19"/>
  <c r="N29" i="19"/>
  <c r="M29" i="19"/>
  <c r="L29" i="19"/>
  <c r="FG28" i="19"/>
  <c r="FD28" i="19"/>
  <c r="EW28" i="19"/>
  <c r="ET28" i="19"/>
  <c r="EM28" i="19"/>
  <c r="EJ28" i="19"/>
  <c r="EC28" i="19"/>
  <c r="DZ28" i="19"/>
  <c r="DS28" i="19"/>
  <c r="DP28" i="19"/>
  <c r="DI28" i="19"/>
  <c r="DF28" i="19"/>
  <c r="CY28" i="19"/>
  <c r="CV28" i="19"/>
  <c r="CO28" i="19"/>
  <c r="CL28" i="19"/>
  <c r="CE28" i="19"/>
  <c r="CB28" i="19"/>
  <c r="BU28" i="19"/>
  <c r="BR28" i="19"/>
  <c r="BK28" i="19"/>
  <c r="BH28" i="19"/>
  <c r="BA28" i="19"/>
  <c r="AX28" i="19"/>
  <c r="R28" i="19"/>
  <c r="Q28" i="19"/>
  <c r="P28" i="19"/>
  <c r="O28" i="19"/>
  <c r="N28" i="19"/>
  <c r="M28" i="19"/>
  <c r="L28" i="19"/>
  <c r="FG39" i="19"/>
  <c r="FD39" i="19"/>
  <c r="EW39" i="19"/>
  <c r="ET39" i="19"/>
  <c r="EM39" i="19"/>
  <c r="EJ39" i="19"/>
  <c r="EC39" i="19"/>
  <c r="DZ39" i="19"/>
  <c r="DS39" i="19"/>
  <c r="DP39" i="19"/>
  <c r="DI39" i="19"/>
  <c r="DF39" i="19"/>
  <c r="CY39" i="19"/>
  <c r="CV39" i="19"/>
  <c r="CO39" i="19"/>
  <c r="CL39" i="19"/>
  <c r="CE39" i="19"/>
  <c r="CB39" i="19"/>
  <c r="BU39" i="19"/>
  <c r="BR39" i="19"/>
  <c r="BK39" i="19"/>
  <c r="BH39" i="19"/>
  <c r="BA39" i="19"/>
  <c r="AX39" i="19"/>
  <c r="R39" i="19"/>
  <c r="Q39" i="19"/>
  <c r="P39" i="19"/>
  <c r="O39" i="19"/>
  <c r="N39" i="19"/>
  <c r="M39" i="19"/>
  <c r="L39" i="19"/>
  <c r="K39" i="19"/>
  <c r="J39" i="19"/>
  <c r="I39" i="19"/>
  <c r="H39" i="19"/>
  <c r="G39" i="19"/>
  <c r="FG38" i="19"/>
  <c r="FD38" i="19"/>
  <c r="EW38" i="19"/>
  <c r="ET38" i="19"/>
  <c r="EM38" i="19"/>
  <c r="EJ38" i="19"/>
  <c r="EC38" i="19"/>
  <c r="DZ38" i="19"/>
  <c r="DS38" i="19"/>
  <c r="DP38" i="19"/>
  <c r="DI38" i="19"/>
  <c r="DF38" i="19"/>
  <c r="CY38" i="19"/>
  <c r="CV38" i="19"/>
  <c r="CO38" i="19"/>
  <c r="CL38" i="19"/>
  <c r="CE38" i="19"/>
  <c r="CB38" i="19"/>
  <c r="BU38" i="19"/>
  <c r="BR38" i="19"/>
  <c r="BK38" i="19"/>
  <c r="BH38" i="19"/>
  <c r="BA38" i="19"/>
  <c r="AX38" i="19"/>
  <c r="R38" i="19"/>
  <c r="Q38" i="19"/>
  <c r="P38" i="19"/>
  <c r="O38" i="19"/>
  <c r="N38" i="19"/>
  <c r="M38" i="19"/>
  <c r="L38" i="19"/>
  <c r="K38" i="19"/>
  <c r="J38" i="19"/>
  <c r="I38" i="19"/>
  <c r="H38" i="19"/>
  <c r="G38" i="19"/>
  <c r="FG35" i="19"/>
  <c r="FD35" i="19"/>
  <c r="EW35" i="19"/>
  <c r="ET35" i="19"/>
  <c r="EM35" i="19"/>
  <c r="EJ35" i="19"/>
  <c r="EC35" i="19"/>
  <c r="DZ35" i="19"/>
  <c r="DS35" i="19"/>
  <c r="DP35" i="19"/>
  <c r="DI35" i="19"/>
  <c r="DF35" i="19"/>
  <c r="CY35" i="19"/>
  <c r="CV35" i="19"/>
  <c r="CO35" i="19"/>
  <c r="CL35" i="19"/>
  <c r="CE35" i="19"/>
  <c r="CB35" i="19"/>
  <c r="BU35" i="19"/>
  <c r="BR35" i="19"/>
  <c r="BK35" i="19"/>
  <c r="BH35" i="19"/>
  <c r="BA35" i="19"/>
  <c r="AX35" i="19"/>
  <c r="R35" i="19"/>
  <c r="Q35" i="19"/>
  <c r="P35" i="19"/>
  <c r="O35" i="19"/>
  <c r="N35" i="19"/>
  <c r="M35" i="19"/>
  <c r="L35" i="19"/>
  <c r="FG34" i="19"/>
  <c r="FD34" i="19"/>
  <c r="EW34" i="19"/>
  <c r="ET34" i="19"/>
  <c r="EM34" i="19"/>
  <c r="EJ34" i="19"/>
  <c r="EC34" i="19"/>
  <c r="DZ34" i="19"/>
  <c r="DS34" i="19"/>
  <c r="DP34" i="19"/>
  <c r="DI34" i="19"/>
  <c r="DF34" i="19"/>
  <c r="CY34" i="19"/>
  <c r="CV34" i="19"/>
  <c r="CO34" i="19"/>
  <c r="CL34" i="19"/>
  <c r="CE34" i="19"/>
  <c r="CB34" i="19"/>
  <c r="BU34" i="19"/>
  <c r="BR34" i="19"/>
  <c r="BK34" i="19"/>
  <c r="BH34" i="19"/>
  <c r="BA34" i="19"/>
  <c r="AX34" i="19"/>
  <c r="R34" i="19"/>
  <c r="Q34" i="19"/>
  <c r="P34" i="19"/>
  <c r="O34" i="19"/>
  <c r="N34" i="19"/>
  <c r="M34" i="19"/>
  <c r="FG27" i="19"/>
  <c r="FD27" i="19"/>
  <c r="EW27" i="19"/>
  <c r="ET27" i="19"/>
  <c r="EM27" i="19"/>
  <c r="EJ27" i="19"/>
  <c r="EC27" i="19"/>
  <c r="DZ27" i="19"/>
  <c r="DS27" i="19"/>
  <c r="DP27" i="19"/>
  <c r="DI27" i="19"/>
  <c r="DF27" i="19"/>
  <c r="CY27" i="19"/>
  <c r="CV27" i="19"/>
  <c r="CO27" i="19"/>
  <c r="CL27" i="19"/>
  <c r="CE27" i="19"/>
  <c r="CB27" i="19"/>
  <c r="I27" i="19"/>
  <c r="BK27" i="19"/>
  <c r="BH27" i="19"/>
  <c r="BA27" i="19"/>
  <c r="AX27" i="19"/>
  <c r="R27" i="19"/>
  <c r="Q27" i="19"/>
  <c r="P27" i="19"/>
  <c r="O27" i="19"/>
  <c r="N27" i="19"/>
  <c r="M27" i="19"/>
  <c r="L27" i="19"/>
  <c r="K27" i="19"/>
  <c r="FG26" i="19"/>
  <c r="FD26" i="19"/>
  <c r="EW26" i="19"/>
  <c r="ET26" i="19"/>
  <c r="EM26" i="19"/>
  <c r="EJ26" i="19"/>
  <c r="EC26" i="19"/>
  <c r="DZ26" i="19"/>
  <c r="DS26" i="19"/>
  <c r="DP26" i="19"/>
  <c r="DI26" i="19"/>
  <c r="DF26" i="19"/>
  <c r="CY26" i="19"/>
  <c r="CV26" i="19"/>
  <c r="CO26" i="19"/>
  <c r="CL26" i="19"/>
  <c r="CE26" i="19"/>
  <c r="CB26" i="19"/>
  <c r="BU26" i="19"/>
  <c r="BR26" i="19"/>
  <c r="BK26" i="19"/>
  <c r="BH26" i="19"/>
  <c r="BA26" i="19"/>
  <c r="AX26" i="19"/>
  <c r="R26" i="19"/>
  <c r="Q26" i="19"/>
  <c r="P26" i="19"/>
  <c r="O26" i="19"/>
  <c r="N26" i="19"/>
  <c r="M26" i="19"/>
  <c r="L26" i="19"/>
  <c r="K26" i="19"/>
  <c r="J26" i="19"/>
  <c r="I26" i="19"/>
  <c r="H26" i="19"/>
  <c r="G26" i="19"/>
  <c r="FG25" i="19"/>
  <c r="FD25" i="19"/>
  <c r="EW25" i="19"/>
  <c r="ET25" i="19"/>
  <c r="EM25" i="19"/>
  <c r="EJ25" i="19"/>
  <c r="EC25" i="19"/>
  <c r="DZ25" i="19"/>
  <c r="DS25" i="19"/>
  <c r="DP25" i="19"/>
  <c r="DI25" i="19"/>
  <c r="DF25" i="19"/>
  <c r="CY25" i="19"/>
  <c r="CV25" i="19"/>
  <c r="CO25" i="19"/>
  <c r="CL25" i="19"/>
  <c r="CE25" i="19"/>
  <c r="CB25" i="19"/>
  <c r="BU25" i="19"/>
  <c r="BR25" i="19"/>
  <c r="BK25" i="19"/>
  <c r="BH25" i="19"/>
  <c r="BA25" i="19"/>
  <c r="AX25" i="19"/>
  <c r="R25" i="19"/>
  <c r="Q25" i="19"/>
  <c r="P25" i="19"/>
  <c r="O25" i="19"/>
  <c r="N25" i="19"/>
  <c r="M25" i="19"/>
  <c r="L25" i="19"/>
  <c r="FG24" i="19"/>
  <c r="FD24" i="19"/>
  <c r="EW24" i="19"/>
  <c r="ET24" i="19"/>
  <c r="EM24" i="19"/>
  <c r="EJ24" i="19"/>
  <c r="EC24" i="19"/>
  <c r="DZ24" i="19"/>
  <c r="DS24" i="19"/>
  <c r="DP24" i="19"/>
  <c r="DI24" i="19"/>
  <c r="DF24" i="19"/>
  <c r="CY24" i="19"/>
  <c r="CV24" i="19"/>
  <c r="CO24" i="19"/>
  <c r="CL24" i="19"/>
  <c r="CE24" i="19"/>
  <c r="CB24" i="19"/>
  <c r="BU24" i="19"/>
  <c r="BR24" i="19"/>
  <c r="BK24" i="19"/>
  <c r="BH24" i="19"/>
  <c r="BA24" i="19"/>
  <c r="AX24" i="19"/>
  <c r="R24" i="19"/>
  <c r="Q24" i="19"/>
  <c r="P24" i="19"/>
  <c r="O24" i="19"/>
  <c r="N24" i="19"/>
  <c r="FG23" i="19"/>
  <c r="FD23" i="19"/>
  <c r="EW23" i="19"/>
  <c r="ET23" i="19"/>
  <c r="EM23" i="19"/>
  <c r="EJ23" i="19"/>
  <c r="EC23" i="19"/>
  <c r="DZ23" i="19"/>
  <c r="DS23" i="19"/>
  <c r="DP23" i="19"/>
  <c r="DI23" i="19"/>
  <c r="DF23" i="19"/>
  <c r="CY23" i="19"/>
  <c r="CV23" i="19"/>
  <c r="CO23" i="19"/>
  <c r="CL23" i="19"/>
  <c r="CE23" i="19"/>
  <c r="CB23" i="19"/>
  <c r="BU23" i="19"/>
  <c r="BR23" i="19"/>
  <c r="BK23" i="19"/>
  <c r="BH23" i="19"/>
  <c r="BA23" i="19"/>
  <c r="AX23" i="19"/>
  <c r="R23" i="19"/>
  <c r="Q23" i="19"/>
  <c r="P23" i="19"/>
  <c r="O23" i="19"/>
  <c r="N23" i="19"/>
  <c r="M23" i="19"/>
  <c r="L23" i="19"/>
  <c r="FG22" i="19"/>
  <c r="FD22" i="19"/>
  <c r="EW22" i="19"/>
  <c r="ET22" i="19"/>
  <c r="EM22" i="19"/>
  <c r="EJ22" i="19"/>
  <c r="EC22" i="19"/>
  <c r="DZ22" i="19"/>
  <c r="DS22" i="19"/>
  <c r="DP22" i="19"/>
  <c r="DI22" i="19"/>
  <c r="DF22" i="19"/>
  <c r="CY22" i="19"/>
  <c r="CV22" i="19"/>
  <c r="CO22" i="19"/>
  <c r="CL22" i="19"/>
  <c r="CE22" i="19"/>
  <c r="CB22" i="19"/>
  <c r="BU22" i="19"/>
  <c r="BR22" i="19"/>
  <c r="BK22" i="19"/>
  <c r="BH22" i="19"/>
  <c r="BA22" i="19"/>
  <c r="AX22" i="19"/>
  <c r="R22" i="19"/>
  <c r="Q22" i="19"/>
  <c r="P22" i="19"/>
  <c r="O22" i="19"/>
  <c r="N22" i="19"/>
  <c r="M22" i="19"/>
  <c r="L22" i="19"/>
  <c r="K22" i="19"/>
  <c r="FG21" i="19"/>
  <c r="FD21" i="19"/>
  <c r="EW21" i="19"/>
  <c r="ET21" i="19"/>
  <c r="EM21" i="19"/>
  <c r="EJ21" i="19"/>
  <c r="EC21" i="19"/>
  <c r="DZ21" i="19"/>
  <c r="DS21" i="19"/>
  <c r="DP21" i="19"/>
  <c r="DI21" i="19"/>
  <c r="DF21" i="19"/>
  <c r="CY21" i="19"/>
  <c r="CV21" i="19"/>
  <c r="CO21" i="19"/>
  <c r="CL21" i="19"/>
  <c r="CE21" i="19"/>
  <c r="CB21" i="19"/>
  <c r="BU21" i="19"/>
  <c r="BR21" i="19"/>
  <c r="BK21" i="19"/>
  <c r="BH21" i="19"/>
  <c r="BA21" i="19"/>
  <c r="AX21" i="19"/>
  <c r="R21" i="19"/>
  <c r="Q21" i="19"/>
  <c r="P21" i="19"/>
  <c r="O21" i="19"/>
  <c r="N21" i="19"/>
  <c r="M21" i="19"/>
  <c r="L21" i="19"/>
  <c r="FG20" i="19"/>
  <c r="FD20" i="19"/>
  <c r="EW20" i="19"/>
  <c r="ET20" i="19"/>
  <c r="EM20" i="19"/>
  <c r="EJ20" i="19"/>
  <c r="EC20" i="19"/>
  <c r="DZ20" i="19"/>
  <c r="DS20" i="19"/>
  <c r="DP20" i="19"/>
  <c r="DI20" i="19"/>
  <c r="DF20" i="19"/>
  <c r="CY20" i="19"/>
  <c r="CV20" i="19"/>
  <c r="CO20" i="19"/>
  <c r="CL20" i="19"/>
  <c r="CE20" i="19"/>
  <c r="CB20" i="19"/>
  <c r="BU20" i="19"/>
  <c r="BR20" i="19"/>
  <c r="BK20" i="19"/>
  <c r="BH20" i="19"/>
  <c r="BA20" i="19"/>
  <c r="AX20" i="19"/>
  <c r="R20" i="19"/>
  <c r="Q20" i="19"/>
  <c r="P20" i="19"/>
  <c r="O20" i="19"/>
  <c r="N20" i="19"/>
  <c r="M20" i="19"/>
  <c r="L20" i="19"/>
  <c r="FG19" i="19"/>
  <c r="FD19" i="19"/>
  <c r="EW19" i="19"/>
  <c r="ET19" i="19"/>
  <c r="EM19" i="19"/>
  <c r="EJ19" i="19"/>
  <c r="EC19" i="19"/>
  <c r="DZ19" i="19"/>
  <c r="DS19" i="19"/>
  <c r="DP19" i="19"/>
  <c r="DI19" i="19"/>
  <c r="DF19" i="19"/>
  <c r="CY19" i="19"/>
  <c r="CV19" i="19"/>
  <c r="CO19" i="19"/>
  <c r="CL19" i="19"/>
  <c r="CE19" i="19"/>
  <c r="CB19" i="19"/>
  <c r="BU19" i="19"/>
  <c r="BR19" i="19"/>
  <c r="BK19" i="19"/>
  <c r="BH19" i="19"/>
  <c r="BA19" i="19"/>
  <c r="AX19" i="19"/>
  <c r="R19" i="19"/>
  <c r="Q19" i="19"/>
  <c r="P19" i="19"/>
  <c r="O19" i="19"/>
  <c r="N19" i="19"/>
  <c r="M19" i="19"/>
  <c r="L19" i="19"/>
  <c r="FG18" i="19"/>
  <c r="FD18" i="19"/>
  <c r="EW18" i="19"/>
  <c r="ET18" i="19"/>
  <c r="EM18" i="19"/>
  <c r="EJ18" i="19"/>
  <c r="EC18" i="19"/>
  <c r="DZ18" i="19"/>
  <c r="DS18" i="19"/>
  <c r="DP18" i="19"/>
  <c r="DI18" i="19"/>
  <c r="DF18" i="19"/>
  <c r="CY18" i="19"/>
  <c r="CV18" i="19"/>
  <c r="CO18" i="19"/>
  <c r="CL18" i="19"/>
  <c r="CE18" i="19"/>
  <c r="CB18" i="19"/>
  <c r="BU18" i="19"/>
  <c r="BR18" i="19"/>
  <c r="BK18" i="19"/>
  <c r="BH18" i="19"/>
  <c r="BA18" i="19"/>
  <c r="AX18" i="19"/>
  <c r="R18" i="19"/>
  <c r="Q18" i="19"/>
  <c r="P18" i="19"/>
  <c r="O18" i="19"/>
  <c r="N18" i="19"/>
  <c r="M18" i="19"/>
  <c r="L18" i="19"/>
  <c r="FG17" i="19"/>
  <c r="FD17" i="19"/>
  <c r="EW17" i="19"/>
  <c r="ET17" i="19"/>
  <c r="EM17" i="19"/>
  <c r="EJ17" i="19"/>
  <c r="EC17" i="19"/>
  <c r="DZ17" i="19"/>
  <c r="DS17" i="19"/>
  <c r="DP17" i="19"/>
  <c r="DI17" i="19"/>
  <c r="DF17" i="19"/>
  <c r="CY17" i="19"/>
  <c r="CV17" i="19"/>
  <c r="CO17" i="19"/>
  <c r="CL17" i="19"/>
  <c r="CE17" i="19"/>
  <c r="CB17" i="19"/>
  <c r="BU17" i="19"/>
  <c r="BR17" i="19"/>
  <c r="BK17" i="19"/>
  <c r="BH17" i="19"/>
  <c r="BA17" i="19"/>
  <c r="AX17" i="19"/>
  <c r="R17" i="19"/>
  <c r="Q17" i="19"/>
  <c r="P17" i="19"/>
  <c r="O17" i="19"/>
  <c r="N17" i="19"/>
  <c r="M17" i="19"/>
  <c r="FG16" i="19"/>
  <c r="FD16" i="19"/>
  <c r="EW16" i="19"/>
  <c r="ET16" i="19"/>
  <c r="EM16" i="19"/>
  <c r="EJ16" i="19"/>
  <c r="EC16" i="19"/>
  <c r="DZ16" i="19"/>
  <c r="DS16" i="19"/>
  <c r="DP16" i="19"/>
  <c r="DI16" i="19"/>
  <c r="DF16" i="19"/>
  <c r="CY16" i="19"/>
  <c r="CV16" i="19"/>
  <c r="CO16" i="19"/>
  <c r="CL16" i="19"/>
  <c r="CE16" i="19"/>
  <c r="CB16" i="19"/>
  <c r="BU16" i="19"/>
  <c r="BR16" i="19"/>
  <c r="BK16" i="19"/>
  <c r="BH16" i="19"/>
  <c r="BA16" i="19"/>
  <c r="AX16" i="19"/>
  <c r="R16" i="19"/>
  <c r="Q16" i="19"/>
  <c r="P16" i="19"/>
  <c r="O16" i="19"/>
  <c r="N16" i="19"/>
  <c r="M16" i="19"/>
  <c r="FG15" i="19"/>
  <c r="FD15" i="19"/>
  <c r="EW15" i="19"/>
  <c r="ET15" i="19"/>
  <c r="EM15" i="19"/>
  <c r="EJ15" i="19"/>
  <c r="EC15" i="19"/>
  <c r="DZ15" i="19"/>
  <c r="DS15" i="19"/>
  <c r="DP15" i="19"/>
  <c r="DI15" i="19"/>
  <c r="DF15" i="19"/>
  <c r="CY15" i="19"/>
  <c r="CV15" i="19"/>
  <c r="CO15" i="19"/>
  <c r="CL15" i="19"/>
  <c r="CE15" i="19"/>
  <c r="CB15" i="19"/>
  <c r="BU15" i="19"/>
  <c r="BR15" i="19"/>
  <c r="BK15" i="19"/>
  <c r="BH15" i="19"/>
  <c r="BA15" i="19"/>
  <c r="AX15" i="19"/>
  <c r="R15" i="19"/>
  <c r="Q15" i="19"/>
  <c r="P15" i="19"/>
  <c r="O15" i="19"/>
  <c r="N15" i="19"/>
  <c r="M15" i="19"/>
  <c r="L15" i="19"/>
  <c r="FG14" i="19"/>
  <c r="FD14" i="19"/>
  <c r="EW14" i="19"/>
  <c r="ET14" i="19"/>
  <c r="EM14" i="19"/>
  <c r="EJ14" i="19"/>
  <c r="EC14" i="19"/>
  <c r="DZ14" i="19"/>
  <c r="DS14" i="19"/>
  <c r="DP14" i="19"/>
  <c r="DI14" i="19"/>
  <c r="DF14" i="19"/>
  <c r="CY14" i="19"/>
  <c r="CV14" i="19"/>
  <c r="CO14" i="19"/>
  <c r="CL14" i="19"/>
  <c r="CE14" i="19"/>
  <c r="CB14" i="19"/>
  <c r="BU14" i="19"/>
  <c r="BR14" i="19"/>
  <c r="BK14" i="19"/>
  <c r="BH14" i="19"/>
  <c r="BA14" i="19"/>
  <c r="AX14" i="19"/>
  <c r="R14" i="19"/>
  <c r="Q14" i="19"/>
  <c r="P14" i="19"/>
  <c r="N14" i="19"/>
  <c r="M14" i="19"/>
  <c r="L14" i="19"/>
  <c r="FG13" i="19"/>
  <c r="FD13" i="19"/>
  <c r="EW13" i="19"/>
  <c r="ET13" i="19"/>
  <c r="EM13" i="19"/>
  <c r="EJ13" i="19"/>
  <c r="EC13" i="19"/>
  <c r="DZ13" i="19"/>
  <c r="DS13" i="19"/>
  <c r="DP13" i="19"/>
  <c r="DI13" i="19"/>
  <c r="DF13" i="19"/>
  <c r="CY13" i="19"/>
  <c r="CV13" i="19"/>
  <c r="CO13" i="19"/>
  <c r="CL13" i="19"/>
  <c r="CE13" i="19"/>
  <c r="CB13" i="19"/>
  <c r="BU13" i="19"/>
  <c r="BR13" i="19"/>
  <c r="BK13" i="19"/>
  <c r="BH13" i="19"/>
  <c r="BA13" i="19"/>
  <c r="AX13" i="19"/>
  <c r="R13" i="19"/>
  <c r="Q13" i="19"/>
  <c r="P13" i="19"/>
  <c r="O13" i="19"/>
  <c r="N13" i="19"/>
  <c r="M13" i="19"/>
  <c r="L13" i="19"/>
  <c r="K13" i="19"/>
  <c r="FG12" i="19"/>
  <c r="FD12" i="19"/>
  <c r="EW12" i="19"/>
  <c r="ET12" i="19"/>
  <c r="EM12" i="19"/>
  <c r="EJ12" i="19"/>
  <c r="EC12" i="19"/>
  <c r="DZ12" i="19"/>
  <c r="DS12" i="19"/>
  <c r="DP12" i="19"/>
  <c r="DI12" i="19"/>
  <c r="DF12" i="19"/>
  <c r="CY12" i="19"/>
  <c r="CV12" i="19"/>
  <c r="CO12" i="19"/>
  <c r="CL12" i="19"/>
  <c r="CE12" i="19"/>
  <c r="CB12" i="19"/>
  <c r="BU12" i="19"/>
  <c r="BR12" i="19"/>
  <c r="BK12" i="19"/>
  <c r="BH12" i="19"/>
  <c r="BA12" i="19"/>
  <c r="AX12" i="19"/>
  <c r="R12" i="19"/>
  <c r="Q12" i="19"/>
  <c r="P12" i="19"/>
  <c r="O12" i="19"/>
  <c r="N12" i="19"/>
  <c r="M12" i="19"/>
  <c r="FG11" i="19"/>
  <c r="FD11" i="19"/>
  <c r="EW11" i="19"/>
  <c r="ET11" i="19"/>
  <c r="EM11" i="19"/>
  <c r="EJ11" i="19"/>
  <c r="EC11" i="19"/>
  <c r="DZ11" i="19"/>
  <c r="DS11" i="19"/>
  <c r="DP11" i="19"/>
  <c r="DI11" i="19"/>
  <c r="DF11" i="19"/>
  <c r="CY11" i="19"/>
  <c r="CV11" i="19"/>
  <c r="CO11" i="19"/>
  <c r="CL11" i="19"/>
  <c r="CE11" i="19"/>
  <c r="CB11" i="19"/>
  <c r="BU11" i="19"/>
  <c r="BR11" i="19"/>
  <c r="BK11" i="19"/>
  <c r="BH11" i="19"/>
  <c r="BA11" i="19"/>
  <c r="AX11" i="19"/>
  <c r="R11" i="19"/>
  <c r="Q11" i="19"/>
  <c r="P11" i="19"/>
  <c r="O11" i="19"/>
  <c r="N11" i="19"/>
  <c r="FG10" i="19"/>
  <c r="FD10" i="19"/>
  <c r="EW10" i="19"/>
  <c r="ET10" i="19"/>
  <c r="EM10" i="19"/>
  <c r="EJ10" i="19"/>
  <c r="EC10" i="19"/>
  <c r="DZ10" i="19"/>
  <c r="DS10" i="19"/>
  <c r="DP10" i="19"/>
  <c r="DI10" i="19"/>
  <c r="DF10" i="19"/>
  <c r="CY10" i="19"/>
  <c r="CV10" i="19"/>
  <c r="CO10" i="19"/>
  <c r="CL10" i="19"/>
  <c r="CE10" i="19"/>
  <c r="CB10" i="19"/>
  <c r="BU10" i="19"/>
  <c r="BR10" i="19"/>
  <c r="BK10" i="19"/>
  <c r="BH10" i="19"/>
  <c r="BA10" i="19"/>
  <c r="AX10" i="19"/>
  <c r="R10" i="19"/>
  <c r="Q10" i="19"/>
  <c r="P10" i="19"/>
  <c r="O10" i="19"/>
  <c r="N10" i="19"/>
  <c r="M10" i="19"/>
  <c r="V53" i="16"/>
  <c r="V52" i="16"/>
  <c r="V51" i="16"/>
  <c r="V50" i="16"/>
  <c r="V54" i="16"/>
  <c r="J29" i="16"/>
  <c r="AS7" i="15"/>
  <c r="AS7" i="14"/>
  <c r="I29" i="16" s="1"/>
  <c r="AS7" i="13"/>
  <c r="H29" i="16" s="1"/>
  <c r="AS7" i="12"/>
  <c r="G29" i="16" s="1"/>
  <c r="AS7" i="11"/>
  <c r="F29" i="16" s="1"/>
  <c r="AS7" i="10"/>
  <c r="E29" i="16" s="1"/>
  <c r="K12" i="19" l="1"/>
  <c r="J15" i="19"/>
  <c r="L10" i="19"/>
  <c r="K16" i="19"/>
  <c r="K11" i="19"/>
  <c r="K33" i="19"/>
  <c r="I19" i="19"/>
  <c r="H33" i="19"/>
  <c r="AI11" i="19"/>
  <c r="Y36" i="19"/>
  <c r="J24" i="19"/>
  <c r="G32" i="19"/>
  <c r="K32" i="19"/>
  <c r="I22" i="19"/>
  <c r="J14" i="19"/>
  <c r="H14" i="19"/>
  <c r="K28" i="19"/>
  <c r="J36" i="19"/>
  <c r="J13" i="19"/>
  <c r="Y37" i="19"/>
  <c r="J22" i="19"/>
  <c r="X38" i="19"/>
  <c r="AA38" i="19" s="1"/>
  <c r="AO38" i="19" s="1"/>
  <c r="K30" i="19"/>
  <c r="J12" i="19"/>
  <c r="J19" i="19"/>
  <c r="M24" i="19"/>
  <c r="Y18" i="19"/>
  <c r="K18" i="19"/>
  <c r="L12" i="19"/>
  <c r="K24" i="19"/>
  <c r="K34" i="19"/>
  <c r="H35" i="19"/>
  <c r="S33" i="19"/>
  <c r="Z33" i="19" s="1" a="1"/>
  <c r="Z33" i="19" s="1"/>
  <c r="L11" i="19"/>
  <c r="Y12" i="19"/>
  <c r="AI22" i="19"/>
  <c r="Y23" i="19"/>
  <c r="Y26" i="19"/>
  <c r="L24" i="19"/>
  <c r="K10" i="19"/>
  <c r="I11" i="19"/>
  <c r="M11" i="19"/>
  <c r="K15" i="19"/>
  <c r="J18" i="19"/>
  <c r="Y21" i="19"/>
  <c r="K21" i="19"/>
  <c r="AJ22" i="19"/>
  <c r="AL22" i="19" s="1"/>
  <c r="H23" i="19"/>
  <c r="X19" i="19"/>
  <c r="K29" i="19"/>
  <c r="X37" i="19"/>
  <c r="AA37" i="19" s="1"/>
  <c r="AO37" i="19" s="1"/>
  <c r="G10" i="19"/>
  <c r="G20" i="19"/>
  <c r="K20" i="19"/>
  <c r="G21" i="19"/>
  <c r="G23" i="19"/>
  <c r="K23" i="19"/>
  <c r="L34" i="19"/>
  <c r="Y39" i="19"/>
  <c r="L17" i="19"/>
  <c r="H19" i="19"/>
  <c r="H20" i="19"/>
  <c r="H22" i="19"/>
  <c r="J25" i="19"/>
  <c r="J28" i="19"/>
  <c r="K19" i="19"/>
  <c r="J11" i="19"/>
  <c r="Y14" i="19"/>
  <c r="I18" i="19"/>
  <c r="I20" i="19"/>
  <c r="I21" i="19"/>
  <c r="S38" i="19"/>
  <c r="Z38" i="19" s="1" a="1"/>
  <c r="Z38" i="19" s="1"/>
  <c r="L30" i="19"/>
  <c r="AJ23" i="19"/>
  <c r="J10" i="19"/>
  <c r="J17" i="19"/>
  <c r="J20" i="19"/>
  <c r="K25" i="19"/>
  <c r="I33" i="19"/>
  <c r="L16" i="19"/>
  <c r="X18" i="19"/>
  <c r="J27" i="19"/>
  <c r="S19" i="19"/>
  <c r="Z19" i="19" s="1" a="1"/>
  <c r="Z19" i="19" s="1"/>
  <c r="AJ20" i="19"/>
  <c r="AJ21" i="19"/>
  <c r="J21" i="19"/>
  <c r="Y35" i="19"/>
  <c r="AJ14" i="19"/>
  <c r="AL14" i="19" s="1"/>
  <c r="AI21" i="19"/>
  <c r="I23" i="19"/>
  <c r="Y34" i="19"/>
  <c r="S37" i="19"/>
  <c r="Z37" i="19" s="1" a="1"/>
  <c r="Z37" i="19" s="1"/>
  <c r="X13" i="19"/>
  <c r="G14" i="19"/>
  <c r="K17" i="19"/>
  <c r="H21" i="19"/>
  <c r="J23" i="19"/>
  <c r="X26" i="19"/>
  <c r="AA26" i="19" s="1"/>
  <c r="AO26" i="19" s="1"/>
  <c r="X39" i="19"/>
  <c r="AA39" i="19" s="1"/>
  <c r="AO39" i="19" s="1"/>
  <c r="J30" i="19"/>
  <c r="J31" i="19"/>
  <c r="AJ18" i="19"/>
  <c r="X12" i="19"/>
  <c r="AI14" i="19"/>
  <c r="K14" i="19"/>
  <c r="G18" i="19"/>
  <c r="G22" i="19"/>
  <c r="AJ26" i="19"/>
  <c r="J29" i="19"/>
  <c r="S20" i="19"/>
  <c r="Z20" i="19" s="1" a="1"/>
  <c r="Z20" i="19" s="1"/>
  <c r="AI18" i="19"/>
  <c r="Y19" i="19"/>
  <c r="X20" i="19"/>
  <c r="S21" i="19"/>
  <c r="Z21" i="19" s="1" a="1"/>
  <c r="Z21" i="19" s="1"/>
  <c r="AI26" i="19"/>
  <c r="Y38" i="19"/>
  <c r="Y31" i="19"/>
  <c r="G36" i="19"/>
  <c r="K36" i="19"/>
  <c r="I14" i="19"/>
  <c r="AI17" i="19"/>
  <c r="AI19" i="19"/>
  <c r="Y20" i="19"/>
  <c r="X21" i="19"/>
  <c r="S22" i="19"/>
  <c r="Z22" i="19" s="1" a="1"/>
  <c r="Z22" i="19" s="1"/>
  <c r="AJ24" i="19"/>
  <c r="AJ36" i="19"/>
  <c r="Y10" i="19"/>
  <c r="G19" i="19"/>
  <c r="S23" i="19"/>
  <c r="Z23" i="19" s="1" a="1"/>
  <c r="Z23" i="19" s="1"/>
  <c r="H24" i="19"/>
  <c r="G34" i="19"/>
  <c r="G35" i="19"/>
  <c r="K35" i="19"/>
  <c r="G29" i="19"/>
  <c r="H12" i="19"/>
  <c r="S12" i="19"/>
  <c r="Z12" i="19" s="1" a="1"/>
  <c r="Z12" i="19" s="1"/>
  <c r="S14" i="19"/>
  <c r="Z14" i="19" s="1" a="1"/>
  <c r="Z14" i="19" s="1"/>
  <c r="H18" i="19"/>
  <c r="AJ19" i="19"/>
  <c r="AI20" i="19"/>
  <c r="X22" i="19"/>
  <c r="X14" i="19"/>
  <c r="Y22" i="19"/>
  <c r="X23" i="19"/>
  <c r="G27" i="19"/>
  <c r="AJ34" i="19"/>
  <c r="AJ35" i="19"/>
  <c r="Y29" i="19"/>
  <c r="G31" i="19"/>
  <c r="S18" i="19"/>
  <c r="Z18" i="19" s="1" a="1"/>
  <c r="Z18" i="19" s="1"/>
  <c r="AI23" i="19"/>
  <c r="S26" i="19"/>
  <c r="Z26" i="19" s="1" a="1"/>
  <c r="Z26" i="19" s="1"/>
  <c r="H34" i="19"/>
  <c r="S39" i="19"/>
  <c r="Z39" i="19" s="1" a="1"/>
  <c r="Z39" i="19" s="1"/>
  <c r="X28" i="19"/>
  <c r="J33" i="19"/>
  <c r="Y27" i="19"/>
  <c r="Y33" i="19"/>
  <c r="X36" i="19"/>
  <c r="AI36" i="19"/>
  <c r="AJ31" i="19"/>
  <c r="I31" i="19"/>
  <c r="AI35" i="19"/>
  <c r="J35" i="19"/>
  <c r="X35" i="19"/>
  <c r="AI34" i="19"/>
  <c r="I17" i="19"/>
  <c r="H17" i="19"/>
  <c r="X17" i="19"/>
  <c r="S17" i="19"/>
  <c r="Z17" i="19" s="1" a="1"/>
  <c r="Z17" i="19" s="1"/>
  <c r="G17" i="19"/>
  <c r="Y17" i="19"/>
  <c r="AJ17" i="19"/>
  <c r="J16" i="19"/>
  <c r="AJ16" i="19"/>
  <c r="I16" i="19"/>
  <c r="H16" i="19"/>
  <c r="G16" i="19"/>
  <c r="Y16" i="19"/>
  <c r="S16" i="19"/>
  <c r="Z16" i="19" s="1" a="1"/>
  <c r="Z16" i="19" s="1"/>
  <c r="X16" i="19"/>
  <c r="AI16" i="19"/>
  <c r="I24" i="19"/>
  <c r="G24" i="19"/>
  <c r="Y24" i="19"/>
  <c r="S24" i="19"/>
  <c r="Z24" i="19" s="1" a="1"/>
  <c r="Z24" i="19" s="1"/>
  <c r="X24" i="19"/>
  <c r="AI24" i="19"/>
  <c r="Y25" i="19"/>
  <c r="I25" i="19"/>
  <c r="H25" i="19"/>
  <c r="AI25" i="19"/>
  <c r="AJ25" i="19"/>
  <c r="G25" i="19"/>
  <c r="S25" i="19"/>
  <c r="Z25" i="19" s="1" a="1"/>
  <c r="Z25" i="19" s="1"/>
  <c r="X25" i="19"/>
  <c r="I15" i="19"/>
  <c r="H15" i="19"/>
  <c r="X15" i="19"/>
  <c r="AJ15" i="19"/>
  <c r="S15" i="19"/>
  <c r="Z15" i="19" s="1" a="1"/>
  <c r="Z15" i="19" s="1"/>
  <c r="Y15" i="19"/>
  <c r="G15" i="19"/>
  <c r="AI15" i="19"/>
  <c r="I13" i="19"/>
  <c r="H13" i="19"/>
  <c r="AI13" i="19"/>
  <c r="G13" i="19"/>
  <c r="S13" i="19"/>
  <c r="Z13" i="19" s="1" a="1"/>
  <c r="Z13" i="19" s="1"/>
  <c r="Y13" i="19"/>
  <c r="AJ13" i="19"/>
  <c r="I12" i="19"/>
  <c r="AJ12" i="19"/>
  <c r="X11" i="19"/>
  <c r="H11" i="19"/>
  <c r="G12" i="19"/>
  <c r="AI12" i="19"/>
  <c r="Y11" i="19"/>
  <c r="S11" i="19"/>
  <c r="Z11" i="19" s="1" a="1"/>
  <c r="Z11" i="19" s="1"/>
  <c r="AJ11" i="19"/>
  <c r="G11" i="19"/>
  <c r="X10" i="19"/>
  <c r="I10" i="19"/>
  <c r="S10" i="19"/>
  <c r="Z10" i="19" s="1" a="1"/>
  <c r="Z10" i="19" s="1"/>
  <c r="AJ10" i="19"/>
  <c r="H10" i="19"/>
  <c r="AI10" i="19"/>
  <c r="H36" i="19"/>
  <c r="X34" i="19"/>
  <c r="J32" i="19"/>
  <c r="S36" i="19"/>
  <c r="Z36" i="19" s="1" a="1"/>
  <c r="Z36" i="19" s="1"/>
  <c r="I35" i="19"/>
  <c r="S35" i="19"/>
  <c r="Z35" i="19" s="1" a="1"/>
  <c r="Z35" i="19" s="1"/>
  <c r="S29" i="19"/>
  <c r="Z29" i="19" s="1" a="1"/>
  <c r="Z29" i="19" s="1"/>
  <c r="H28" i="19"/>
  <c r="I36" i="19"/>
  <c r="S34" i="19"/>
  <c r="Z34" i="19" s="1" a="1"/>
  <c r="Z34" i="19" s="1"/>
  <c r="I34" i="19"/>
  <c r="J34" i="19"/>
  <c r="X33" i="19"/>
  <c r="AI33" i="19"/>
  <c r="AJ33" i="19"/>
  <c r="G33" i="19"/>
  <c r="S32" i="19"/>
  <c r="Z32" i="19" s="1" a="1"/>
  <c r="Z32" i="19" s="1"/>
  <c r="I32" i="19"/>
  <c r="AJ32" i="19"/>
  <c r="Y32" i="19"/>
  <c r="AI32" i="19"/>
  <c r="H32" i="19"/>
  <c r="X32" i="19"/>
  <c r="H31" i="19"/>
  <c r="AI31" i="19"/>
  <c r="S31" i="19"/>
  <c r="Z31" i="19" s="1" a="1"/>
  <c r="Z31" i="19" s="1"/>
  <c r="X31" i="19"/>
  <c r="I30" i="19"/>
  <c r="AI30" i="19"/>
  <c r="AJ30" i="19"/>
  <c r="H30" i="19"/>
  <c r="X30" i="19"/>
  <c r="S30" i="19"/>
  <c r="Z30" i="19" s="1" a="1"/>
  <c r="Z30" i="19" s="1"/>
  <c r="Y30" i="19"/>
  <c r="G30" i="19"/>
  <c r="AJ29" i="19"/>
  <c r="I29" i="19"/>
  <c r="H29" i="19"/>
  <c r="X29" i="19"/>
  <c r="AI29" i="19"/>
  <c r="I28" i="19"/>
  <c r="S28" i="19"/>
  <c r="Z28" i="19" s="1" a="1"/>
  <c r="Z28" i="19" s="1"/>
  <c r="Y28" i="19"/>
  <c r="AJ28" i="19"/>
  <c r="G28" i="19"/>
  <c r="AI28" i="19"/>
  <c r="AJ27" i="19"/>
  <c r="AL27" i="19" s="1"/>
  <c r="H27" i="19"/>
  <c r="S27" i="19"/>
  <c r="Z27" i="19" s="1" a="1"/>
  <c r="Z27" i="19" s="1"/>
  <c r="X27" i="19"/>
  <c r="AI27" i="19"/>
  <c r="S4" i="17"/>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S43" i="17"/>
  <c r="S44" i="17"/>
  <c r="S45" i="17"/>
  <c r="S46" i="17"/>
  <c r="S47" i="17"/>
  <c r="S48" i="17"/>
  <c r="S49" i="17"/>
  <c r="S50" i="17"/>
  <c r="S51" i="17"/>
  <c r="S52" i="17"/>
  <c r="S53" i="17"/>
  <c r="S54" i="17"/>
  <c r="S55" i="17"/>
  <c r="S56" i="17"/>
  <c r="S57" i="17"/>
  <c r="S58" i="17"/>
  <c r="S59" i="17"/>
  <c r="S60" i="17"/>
  <c r="S61" i="17"/>
  <c r="S63" i="17"/>
  <c r="S64" i="17"/>
  <c r="S65" i="17"/>
  <c r="S66" i="17"/>
  <c r="S67" i="17"/>
  <c r="S69" i="17"/>
  <c r="S70" i="17"/>
  <c r="S71" i="17"/>
  <c r="S72" i="17"/>
  <c r="S73" i="17"/>
  <c r="S74" i="17"/>
  <c r="S75" i="17"/>
  <c r="S76" i="17"/>
  <c r="S77" i="17"/>
  <c r="S78" i="17"/>
  <c r="S79" i="17"/>
  <c r="S80" i="17"/>
  <c r="S81" i="17"/>
  <c r="S82" i="17"/>
  <c r="S83" i="17"/>
  <c r="S84" i="17"/>
  <c r="S85" i="17"/>
  <c r="S86" i="17"/>
  <c r="S87" i="17"/>
  <c r="S88" i="17"/>
  <c r="S89" i="17"/>
  <c r="S90" i="17"/>
  <c r="S91" i="17"/>
  <c r="S92" i="17"/>
  <c r="S93" i="17"/>
  <c r="S94" i="17"/>
  <c r="S95" i="17"/>
  <c r="S96" i="17"/>
  <c r="S97" i="17"/>
  <c r="S98" i="17"/>
  <c r="S99" i="17"/>
  <c r="S100" i="17"/>
  <c r="AL24" i="19" l="1"/>
  <c r="F51" i="23"/>
  <c r="L51" i="23" s="1"/>
  <c r="AL18" i="19"/>
  <c r="F45" i="23"/>
  <c r="L45" i="23" s="1"/>
  <c r="AL32" i="19"/>
  <c r="F58" i="23"/>
  <c r="J58" i="23" s="1"/>
  <c r="AK16" i="19"/>
  <c r="E43" i="23"/>
  <c r="K43" i="23" s="1"/>
  <c r="AK31" i="19"/>
  <c r="E57" i="23"/>
  <c r="I57" i="23" s="1"/>
  <c r="AL11" i="19"/>
  <c r="F38" i="23"/>
  <c r="L38" i="23" s="1"/>
  <c r="AK15" i="19"/>
  <c r="E42" i="23"/>
  <c r="K42" i="23" s="1"/>
  <c r="AK24" i="19"/>
  <c r="E51" i="23"/>
  <c r="K51" i="23" s="1"/>
  <c r="AK20" i="19"/>
  <c r="E47" i="23"/>
  <c r="K47" i="23" s="1"/>
  <c r="AL21" i="19"/>
  <c r="F48" i="23"/>
  <c r="N48" i="23" s="1"/>
  <c r="AL16" i="19"/>
  <c r="F43" i="23"/>
  <c r="L43" i="23" s="1"/>
  <c r="AL17" i="19"/>
  <c r="F44" i="23"/>
  <c r="N44" i="23" s="1"/>
  <c r="AK29" i="19"/>
  <c r="E55" i="23"/>
  <c r="I55" i="23" s="1"/>
  <c r="AK10" i="19"/>
  <c r="E37" i="23"/>
  <c r="O37" i="23" s="1"/>
  <c r="AL13" i="19"/>
  <c r="F40" i="23"/>
  <c r="L40" i="23" s="1"/>
  <c r="AK35" i="19"/>
  <c r="E61" i="23"/>
  <c r="K61" i="23" s="1"/>
  <c r="AL35" i="19"/>
  <c r="F61" i="23"/>
  <c r="L61" i="23" s="1"/>
  <c r="AL19" i="19"/>
  <c r="F46" i="23"/>
  <c r="N46" i="23" s="1"/>
  <c r="AL20" i="19"/>
  <c r="F47" i="23"/>
  <c r="L47" i="23" s="1"/>
  <c r="AK22" i="19"/>
  <c r="E49" i="23"/>
  <c r="K49" i="23" s="1"/>
  <c r="AK34" i="19"/>
  <c r="E60" i="23"/>
  <c r="K60" i="23" s="1"/>
  <c r="AL33" i="19"/>
  <c r="F59" i="23"/>
  <c r="L59" i="23" s="1"/>
  <c r="AL34" i="19"/>
  <c r="F60" i="23"/>
  <c r="L60" i="23" s="1"/>
  <c r="AK13" i="19"/>
  <c r="E40" i="23"/>
  <c r="K40" i="23" s="1"/>
  <c r="AK23" i="19"/>
  <c r="E50" i="23"/>
  <c r="K50" i="23" s="1"/>
  <c r="AK14" i="19"/>
  <c r="E41" i="23"/>
  <c r="M41" i="23" s="1"/>
  <c r="AL36" i="19"/>
  <c r="F62" i="23"/>
  <c r="L62" i="23" s="1"/>
  <c r="AL12" i="19"/>
  <c r="F39" i="23"/>
  <c r="L39" i="23" s="1"/>
  <c r="AK28" i="19"/>
  <c r="E54" i="23"/>
  <c r="I54" i="23" s="1"/>
  <c r="AL30" i="19"/>
  <c r="F56" i="23"/>
  <c r="J56" i="23" s="1"/>
  <c r="AK33" i="19"/>
  <c r="E59" i="23"/>
  <c r="K59" i="23" s="1"/>
  <c r="AL10" i="19"/>
  <c r="F37" i="23"/>
  <c r="P37" i="23" s="1"/>
  <c r="AK12" i="19"/>
  <c r="E39" i="23"/>
  <c r="K39" i="23" s="1"/>
  <c r="AL25" i="19"/>
  <c r="F52" i="23"/>
  <c r="L52" i="23" s="1"/>
  <c r="AL31" i="19"/>
  <c r="F57" i="23"/>
  <c r="J57" i="23" s="1"/>
  <c r="AK19" i="19"/>
  <c r="E46" i="23"/>
  <c r="M46" i="23" s="1"/>
  <c r="AL23" i="19"/>
  <c r="F50" i="23"/>
  <c r="L50" i="23" s="1"/>
  <c r="AL28" i="19"/>
  <c r="F54" i="23"/>
  <c r="J54" i="23" s="1"/>
  <c r="AL29" i="19"/>
  <c r="F55" i="23"/>
  <c r="J55" i="23" s="1"/>
  <c r="AK27" i="19"/>
  <c r="E53" i="23"/>
  <c r="M53" i="23" s="1"/>
  <c r="AK18" i="19"/>
  <c r="E45" i="23"/>
  <c r="K45" i="23" s="1"/>
  <c r="AK30" i="19"/>
  <c r="E56" i="23"/>
  <c r="I56" i="23" s="1"/>
  <c r="AK32" i="19"/>
  <c r="E58" i="23"/>
  <c r="I58" i="23" s="1"/>
  <c r="AL15" i="19"/>
  <c r="F42" i="23"/>
  <c r="L42" i="23" s="1"/>
  <c r="AK25" i="19"/>
  <c r="E52" i="23"/>
  <c r="K52" i="23" s="1"/>
  <c r="AK36" i="19"/>
  <c r="E62" i="23"/>
  <c r="K62" i="23" s="1"/>
  <c r="AK17" i="19"/>
  <c r="E44" i="23"/>
  <c r="M44" i="23" s="1"/>
  <c r="AK21" i="19"/>
  <c r="E48" i="23"/>
  <c r="M48" i="23" s="1"/>
  <c r="AK11" i="19"/>
  <c r="E38" i="23"/>
  <c r="K38" i="23" s="1"/>
  <c r="AA16" i="19"/>
  <c r="AO16" i="19" s="1"/>
  <c r="AA20" i="19"/>
  <c r="AA33" i="19"/>
  <c r="AO33" i="19" s="1"/>
  <c r="AA14" i="19"/>
  <c r="AO14" i="19" s="1"/>
  <c r="AA21" i="19"/>
  <c r="AA23" i="19"/>
  <c r="AO23" i="19" s="1"/>
  <c r="AA18" i="19"/>
  <c r="AO18" i="19" s="1"/>
  <c r="AA12" i="19"/>
  <c r="AO12" i="19" s="1"/>
  <c r="AA19" i="19"/>
  <c r="AO19" i="19" s="1"/>
  <c r="AA36" i="19"/>
  <c r="AO36" i="19" s="1"/>
  <c r="AA22" i="19"/>
  <c r="AO22" i="19" s="1"/>
  <c r="AA35" i="19"/>
  <c r="AO35" i="19" s="1"/>
  <c r="AA11" i="19"/>
  <c r="AO11" i="19" s="1"/>
  <c r="AA13" i="19"/>
  <c r="AO13" i="19" s="1"/>
  <c r="AA34" i="19"/>
  <c r="AO34" i="19" s="1"/>
  <c r="AA17" i="19"/>
  <c r="AO17" i="19" s="1"/>
  <c r="AA24" i="19"/>
  <c r="AO24" i="19" s="1"/>
  <c r="AA25" i="19"/>
  <c r="AO25" i="19" s="1"/>
  <c r="AA15" i="19"/>
  <c r="AO15" i="19" s="1"/>
  <c r="AA10" i="19"/>
  <c r="AA29" i="19"/>
  <c r="AO29" i="19" s="1"/>
  <c r="AA32" i="19"/>
  <c r="AO32" i="19" s="1"/>
  <c r="AA31" i="19"/>
  <c r="AO31" i="19" s="1"/>
  <c r="AA30" i="19"/>
  <c r="AO30" i="19" s="1"/>
  <c r="AA28" i="19"/>
  <c r="AO28" i="19" s="1"/>
  <c r="AA27" i="19"/>
  <c r="AZ6" i="17"/>
  <c r="AZ7" i="17"/>
  <c r="AZ8" i="17"/>
  <c r="AZ9" i="17"/>
  <c r="AY6" i="17"/>
  <c r="AY7" i="17"/>
  <c r="AY8" i="17"/>
  <c r="N23" i="23" l="1"/>
  <c r="N24" i="23"/>
  <c r="N25" i="23"/>
  <c r="N22" i="23"/>
  <c r="N14" i="23"/>
  <c r="N15" i="23"/>
  <c r="N16" i="23"/>
  <c r="N13" i="23"/>
  <c r="AO21" i="19"/>
  <c r="M23" i="23"/>
  <c r="M24" i="23"/>
  <c r="M25" i="23"/>
  <c r="M22" i="23"/>
  <c r="M14" i="23"/>
  <c r="M15" i="23"/>
  <c r="M16" i="23"/>
  <c r="M13" i="23"/>
  <c r="AO20" i="19"/>
  <c r="AO10" i="19"/>
  <c r="M7" i="23"/>
  <c r="M6" i="23"/>
  <c r="M5" i="23"/>
  <c r="M4" i="23"/>
  <c r="AO27" i="19"/>
  <c r="N5" i="23"/>
  <c r="N6" i="23"/>
  <c r="N4" i="23"/>
  <c r="N7" i="23"/>
  <c r="AY10" i="17"/>
  <c r="AZ10" i="17"/>
  <c r="O25" i="23" l="1"/>
  <c r="N26" i="23"/>
  <c r="O23" i="23"/>
  <c r="O24" i="23"/>
  <c r="O13" i="23"/>
  <c r="O22" i="23"/>
  <c r="M26" i="23"/>
  <c r="M17" i="23"/>
  <c r="M8" i="23"/>
  <c r="BJ10" i="17"/>
  <c r="K129" i="17"/>
  <c r="K130" i="17"/>
  <c r="K131" i="17"/>
  <c r="K128" i="17"/>
  <c r="O26" i="23" l="1"/>
  <c r="I105" i="17"/>
  <c r="I106" i="17"/>
  <c r="I107" i="17"/>
  <c r="I108" i="17"/>
  <c r="I109" i="17"/>
  <c r="I104" i="17"/>
  <c r="H105" i="17"/>
  <c r="H106" i="17"/>
  <c r="H107" i="17"/>
  <c r="H108" i="17"/>
  <c r="H109" i="17"/>
  <c r="H104" i="17"/>
  <c r="G105" i="17"/>
  <c r="G106" i="17"/>
  <c r="G107" i="17"/>
  <c r="G108" i="17"/>
  <c r="G109" i="17"/>
  <c r="G104" i="17"/>
  <c r="F104" i="17"/>
  <c r="F109" i="17"/>
  <c r="F105" i="17"/>
  <c r="F106" i="17"/>
  <c r="F107" i="17"/>
  <c r="F108" i="17"/>
  <c r="I110" i="17" l="1"/>
  <c r="H110" i="17"/>
  <c r="G110" i="17"/>
  <c r="K132" i="17"/>
  <c r="F110" i="17"/>
  <c r="J110" i="17" l="1"/>
  <c r="K29" i="16" l="1"/>
  <c r="K30" i="16"/>
  <c r="AP7" i="15"/>
  <c r="J26" i="16" s="1"/>
  <c r="AQ7" i="15"/>
  <c r="J27" i="16" s="1"/>
  <c r="AR7" i="15"/>
  <c r="J28" i="16" s="1"/>
  <c r="AP7" i="14" l="1"/>
  <c r="I26" i="16" s="1"/>
  <c r="AQ7" i="14"/>
  <c r="I27" i="16" s="1"/>
  <c r="AR7" i="14"/>
  <c r="I28" i="16" s="1"/>
  <c r="AP7" i="13"/>
  <c r="H26" i="16" s="1"/>
  <c r="AQ7" i="13"/>
  <c r="H27" i="16" s="1"/>
  <c r="AR7" i="13"/>
  <c r="H28" i="16" s="1"/>
  <c r="AP7" i="12"/>
  <c r="G26" i="16" s="1"/>
  <c r="AQ7" i="12"/>
  <c r="G27" i="16" s="1"/>
  <c r="AR7" i="12"/>
  <c r="G28" i="16" s="1"/>
  <c r="AP7" i="11"/>
  <c r="F26" i="16" s="1"/>
  <c r="AQ7" i="11"/>
  <c r="F27" i="16" s="1"/>
  <c r="AR7" i="11"/>
  <c r="F28" i="16" s="1"/>
  <c r="AR7" i="10"/>
  <c r="E28" i="16" s="1"/>
  <c r="AQ7" i="10"/>
  <c r="E27" i="16" s="1"/>
  <c r="AP7" i="10"/>
  <c r="E26" i="16" s="1"/>
  <c r="K27" i="16" l="1"/>
  <c r="K28" i="16"/>
  <c r="K26" i="16"/>
  <c r="DT16" i="13" l="1"/>
  <c r="DT17" i="13"/>
  <c r="DT18" i="13"/>
  <c r="DT19" i="13"/>
  <c r="DT20" i="13"/>
  <c r="DT21" i="13"/>
  <c r="DT22" i="13"/>
  <c r="DT23" i="13"/>
  <c r="DT24" i="13"/>
  <c r="DT25" i="13"/>
  <c r="DT26" i="13"/>
  <c r="DT27" i="13"/>
  <c r="DT28" i="13"/>
  <c r="DT10" i="13"/>
  <c r="DT11" i="13"/>
  <c r="DT12" i="13"/>
  <c r="DT13" i="13"/>
  <c r="DT14" i="13"/>
  <c r="DT15" i="13"/>
  <c r="CZ15" i="14"/>
  <c r="CZ24" i="14"/>
  <c r="CF27" i="10"/>
  <c r="CM23" i="10"/>
  <c r="CP12" i="11"/>
  <c r="E14" i="13"/>
  <c r="H51" i="17"/>
  <c r="H48" i="17"/>
  <c r="DJ16" i="13" l="1"/>
  <c r="BV24" i="14"/>
  <c r="AY22" i="14"/>
  <c r="BL10" i="11" l="1"/>
  <c r="AY10" i="11" l="1"/>
  <c r="AW10" i="15"/>
  <c r="H40" i="17"/>
  <c r="CP24" i="11" l="1"/>
  <c r="E21" i="13"/>
  <c r="E19" i="13"/>
  <c r="G41" i="17" l="1"/>
  <c r="BI25" i="14"/>
  <c r="BB11" i="15"/>
  <c r="H41" i="17" l="1"/>
  <c r="J39" i="17"/>
  <c r="J18" i="16"/>
  <c r="I18" i="16"/>
  <c r="H18" i="16"/>
  <c r="G18" i="16"/>
  <c r="F18" i="16"/>
  <c r="AO16" i="10"/>
  <c r="J10" i="17" s="1"/>
  <c r="V16" i="16"/>
  <c r="V17" i="16"/>
  <c r="V18" i="16"/>
  <c r="V15" i="16"/>
  <c r="AH16" i="16"/>
  <c r="AH17" i="16"/>
  <c r="AH18" i="16"/>
  <c r="AH15" i="16"/>
  <c r="V6" i="16"/>
  <c r="V7" i="16"/>
  <c r="V8" i="16"/>
  <c r="V5" i="16"/>
  <c r="J16" i="16"/>
  <c r="J17" i="16"/>
  <c r="J15" i="16"/>
  <c r="B20" i="17"/>
  <c r="G20" i="17"/>
  <c r="J20" i="17"/>
  <c r="B21" i="17"/>
  <c r="G21" i="17"/>
  <c r="J21"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D97" i="17"/>
  <c r="G97" i="17"/>
  <c r="H97" i="17" s="1"/>
  <c r="J97" i="17"/>
  <c r="D98" i="17"/>
  <c r="G98" i="17"/>
  <c r="H98" i="17" s="1"/>
  <c r="J98" i="17"/>
  <c r="D99" i="17"/>
  <c r="G99" i="17"/>
  <c r="H99" i="17" s="1"/>
  <c r="J99" i="17"/>
  <c r="D100" i="17"/>
  <c r="G100" i="17"/>
  <c r="H100" i="17" s="1"/>
  <c r="J100" i="17"/>
  <c r="J96" i="17"/>
  <c r="G96" i="17"/>
  <c r="H96" i="17" s="1"/>
  <c r="D96" i="17"/>
  <c r="G80" i="17"/>
  <c r="J80" i="17"/>
  <c r="G81" i="17"/>
  <c r="J81" i="17"/>
  <c r="G82" i="17"/>
  <c r="J82" i="17"/>
  <c r="G83" i="17"/>
  <c r="J83" i="17"/>
  <c r="G84" i="17"/>
  <c r="J84" i="17"/>
  <c r="G85" i="17"/>
  <c r="J85" i="17"/>
  <c r="G86" i="17"/>
  <c r="J86" i="17"/>
  <c r="G87" i="17"/>
  <c r="J87" i="17"/>
  <c r="G88" i="17"/>
  <c r="J88" i="17"/>
  <c r="G89" i="17"/>
  <c r="J89" i="17"/>
  <c r="G90" i="17"/>
  <c r="J90" i="17"/>
  <c r="G91" i="17"/>
  <c r="J91" i="17"/>
  <c r="G92" i="17"/>
  <c r="J92" i="17"/>
  <c r="G93" i="17"/>
  <c r="J93" i="17"/>
  <c r="G94" i="17"/>
  <c r="J94" i="17"/>
  <c r="G95" i="17"/>
  <c r="J95" i="17"/>
  <c r="J79" i="17"/>
  <c r="G79" i="17"/>
  <c r="G61" i="17"/>
  <c r="J61" i="17"/>
  <c r="G62" i="17"/>
  <c r="J62" i="17"/>
  <c r="G63" i="17"/>
  <c r="J63" i="17"/>
  <c r="J64" i="17"/>
  <c r="G65" i="17"/>
  <c r="J65" i="17"/>
  <c r="G66" i="17"/>
  <c r="J66" i="17"/>
  <c r="G67" i="17"/>
  <c r="J67" i="17"/>
  <c r="G68" i="17"/>
  <c r="J68" i="17"/>
  <c r="J69" i="17"/>
  <c r="G70" i="17"/>
  <c r="J70" i="17"/>
  <c r="J71" i="17"/>
  <c r="G72" i="17"/>
  <c r="J72" i="17"/>
  <c r="J73" i="17"/>
  <c r="J74" i="17"/>
  <c r="G75" i="17"/>
  <c r="J75" i="17"/>
  <c r="G76" i="17"/>
  <c r="J76" i="17"/>
  <c r="J77" i="17"/>
  <c r="G78" i="17"/>
  <c r="J78" i="17"/>
  <c r="J60" i="17"/>
  <c r="G60" i="17"/>
  <c r="B40" i="17"/>
  <c r="G42" i="17"/>
  <c r="J42" i="17"/>
  <c r="G43" i="17"/>
  <c r="J43" i="17"/>
  <c r="G44" i="17"/>
  <c r="J44" i="17"/>
  <c r="G45" i="17"/>
  <c r="J45" i="17"/>
  <c r="G46" i="17"/>
  <c r="J46" i="17"/>
  <c r="G47" i="17"/>
  <c r="J47" i="17"/>
  <c r="J48" i="17"/>
  <c r="G49" i="17"/>
  <c r="J49" i="17"/>
  <c r="G50" i="17"/>
  <c r="J50" i="17"/>
  <c r="J51" i="17"/>
  <c r="G52" i="17"/>
  <c r="J52" i="17"/>
  <c r="G53" i="17"/>
  <c r="J53" i="17"/>
  <c r="G54" i="17"/>
  <c r="J54" i="17"/>
  <c r="G55" i="17"/>
  <c r="J55" i="17"/>
  <c r="G56" i="17"/>
  <c r="J56" i="17"/>
  <c r="G57" i="17"/>
  <c r="J57" i="17"/>
  <c r="G58" i="17"/>
  <c r="J58" i="17"/>
  <c r="G59" i="17"/>
  <c r="J59" i="17"/>
  <c r="J41" i="17"/>
  <c r="B5" i="17"/>
  <c r="B6" i="17"/>
  <c r="B7" i="17"/>
  <c r="B8" i="17"/>
  <c r="B9" i="17"/>
  <c r="B10" i="17"/>
  <c r="B11" i="17"/>
  <c r="B12" i="17"/>
  <c r="B13" i="17"/>
  <c r="B14" i="17"/>
  <c r="B15" i="17"/>
  <c r="B16" i="17"/>
  <c r="B17" i="17"/>
  <c r="B18" i="17"/>
  <c r="B19" i="17"/>
  <c r="B22" i="17"/>
  <c r="B23" i="17"/>
  <c r="B24" i="17"/>
  <c r="B25" i="17"/>
  <c r="B26" i="17"/>
  <c r="B27" i="17"/>
  <c r="B28" i="17"/>
  <c r="B29" i="17"/>
  <c r="B30" i="17"/>
  <c r="B31" i="17"/>
  <c r="B32" i="17"/>
  <c r="B33" i="17"/>
  <c r="B34" i="17"/>
  <c r="B35" i="17"/>
  <c r="B36" i="17"/>
  <c r="B37" i="17"/>
  <c r="B38" i="17"/>
  <c r="B39" i="17"/>
  <c r="B4" i="17"/>
  <c r="G23" i="17"/>
  <c r="J23" i="17"/>
  <c r="G24" i="17"/>
  <c r="J24" i="17"/>
  <c r="J25" i="17"/>
  <c r="G26" i="17"/>
  <c r="J26" i="17"/>
  <c r="G27" i="17"/>
  <c r="J27" i="17"/>
  <c r="G28" i="17"/>
  <c r="J28" i="17"/>
  <c r="G29" i="17"/>
  <c r="J29" i="17"/>
  <c r="G30" i="17"/>
  <c r="J30" i="17"/>
  <c r="G31" i="17"/>
  <c r="J31" i="17"/>
  <c r="G32" i="17"/>
  <c r="J32" i="17"/>
  <c r="G33" i="17"/>
  <c r="J33" i="17"/>
  <c r="G34" i="17"/>
  <c r="J34" i="17"/>
  <c r="G35" i="17"/>
  <c r="J35" i="17"/>
  <c r="G36" i="17"/>
  <c r="H36" i="17" s="1"/>
  <c r="J36" i="17"/>
  <c r="G37" i="17"/>
  <c r="J37" i="17"/>
  <c r="G38" i="17"/>
  <c r="J38" i="17"/>
  <c r="G39" i="17"/>
  <c r="J40" i="17"/>
  <c r="J22" i="17"/>
  <c r="G22" i="17"/>
  <c r="G5" i="17"/>
  <c r="J5" i="17"/>
  <c r="G6" i="17"/>
  <c r="J6" i="17"/>
  <c r="G7" i="17"/>
  <c r="J7" i="17"/>
  <c r="G8" i="17"/>
  <c r="J8" i="17"/>
  <c r="G9" i="17"/>
  <c r="H9" i="17" s="1"/>
  <c r="AG15" i="10" s="1"/>
  <c r="J9" i="17"/>
  <c r="G10" i="17"/>
  <c r="G11" i="17"/>
  <c r="J11" i="17"/>
  <c r="G12" i="17"/>
  <c r="J12" i="17"/>
  <c r="G13" i="17"/>
  <c r="J13" i="17"/>
  <c r="G14" i="17"/>
  <c r="J14" i="17"/>
  <c r="G15" i="17"/>
  <c r="J15" i="17"/>
  <c r="G16" i="17"/>
  <c r="J16" i="17"/>
  <c r="G17" i="17"/>
  <c r="J17" i="17"/>
  <c r="G18" i="17"/>
  <c r="J18" i="17"/>
  <c r="G19" i="17"/>
  <c r="J19" i="17"/>
  <c r="J4" i="17"/>
  <c r="G4" i="17"/>
  <c r="CZ17" i="13"/>
  <c r="BV11" i="13"/>
  <c r="BV20" i="11"/>
  <c r="BL21" i="11"/>
  <c r="CM17" i="11"/>
  <c r="H7" i="17" l="1"/>
  <c r="AG13" i="10" s="1"/>
  <c r="F2" i="17"/>
  <c r="K2" i="17" s="1"/>
  <c r="H4" i="17"/>
  <c r="AG10" i="10" s="1"/>
  <c r="F140" i="17"/>
  <c r="F137" i="17"/>
  <c r="L140" i="17"/>
  <c r="M140" i="17"/>
  <c r="N140" i="17"/>
  <c r="K140" i="17"/>
  <c r="J140" i="17"/>
  <c r="I140" i="17"/>
  <c r="H140" i="17"/>
  <c r="G140" i="17"/>
  <c r="L138" i="17"/>
  <c r="M138" i="17"/>
  <c r="N138" i="17"/>
  <c r="K138" i="17"/>
  <c r="J138" i="17"/>
  <c r="I138" i="17"/>
  <c r="H138" i="17"/>
  <c r="G138" i="17"/>
  <c r="F138" i="17"/>
  <c r="L137" i="17"/>
  <c r="M137" i="17"/>
  <c r="N137" i="17"/>
  <c r="K137" i="17"/>
  <c r="J137" i="17"/>
  <c r="I137" i="17"/>
  <c r="H137" i="17"/>
  <c r="G137" i="17"/>
  <c r="N136" i="17"/>
  <c r="M136" i="17"/>
  <c r="L136" i="17"/>
  <c r="K136" i="17"/>
  <c r="J136" i="17"/>
  <c r="I136" i="17"/>
  <c r="H136" i="17"/>
  <c r="G136" i="17"/>
  <c r="F136" i="17"/>
  <c r="H44" i="17"/>
  <c r="H68" i="17"/>
  <c r="AG18" i="13" s="1"/>
  <c r="H31" i="17"/>
  <c r="AG19" i="11" s="1"/>
  <c r="H23" i="17"/>
  <c r="H49" i="17"/>
  <c r="H19" i="17"/>
  <c r="AG25" i="10" s="1"/>
  <c r="H10" i="17"/>
  <c r="AG16" i="10" s="1"/>
  <c r="H6" i="17"/>
  <c r="AG12" i="10" s="1"/>
  <c r="H38" i="17"/>
  <c r="AG26" i="11" s="1"/>
  <c r="H34" i="17"/>
  <c r="H30" i="17"/>
  <c r="H26" i="17"/>
  <c r="H78" i="17"/>
  <c r="AG28" i="13" s="1"/>
  <c r="H63" i="17"/>
  <c r="AG13" i="13" s="1"/>
  <c r="H95" i="17"/>
  <c r="H91" i="17"/>
  <c r="H87" i="17"/>
  <c r="H83" i="17"/>
  <c r="H35" i="17"/>
  <c r="H27" i="17"/>
  <c r="H15" i="17"/>
  <c r="AG21" i="10" s="1"/>
  <c r="H11" i="17"/>
  <c r="AG17" i="10" s="1"/>
  <c r="H57" i="17"/>
  <c r="H53" i="17"/>
  <c r="H18" i="17"/>
  <c r="AG24" i="10" s="1"/>
  <c r="H14" i="17"/>
  <c r="AG20" i="10" s="1"/>
  <c r="H56" i="17"/>
  <c r="H52" i="17"/>
  <c r="H47" i="17"/>
  <c r="H43" i="17"/>
  <c r="H72" i="17"/>
  <c r="AG22" i="13" s="1"/>
  <c r="H67" i="17"/>
  <c r="AG17" i="13" s="1"/>
  <c r="H62" i="17"/>
  <c r="H94" i="17"/>
  <c r="H90" i="17"/>
  <c r="H86" i="17"/>
  <c r="H82" i="17"/>
  <c r="AG13" i="14" s="1"/>
  <c r="H39" i="17"/>
  <c r="AG27" i="11" s="1"/>
  <c r="H33" i="17"/>
  <c r="H25" i="17"/>
  <c r="AG13" i="11" s="1"/>
  <c r="H17" i="17"/>
  <c r="AG23" i="10" s="1"/>
  <c r="H13" i="17"/>
  <c r="AG19" i="10" s="1"/>
  <c r="H22" i="17"/>
  <c r="H59" i="17"/>
  <c r="H55" i="17"/>
  <c r="H46" i="17"/>
  <c r="H42" i="17"/>
  <c r="H76" i="17"/>
  <c r="AG26" i="13" s="1"/>
  <c r="H66" i="17"/>
  <c r="AG16" i="13" s="1"/>
  <c r="H21" i="17"/>
  <c r="AG27" i="10" s="1"/>
  <c r="H37" i="17"/>
  <c r="H29" i="17"/>
  <c r="H8" i="17"/>
  <c r="AG14" i="10" s="1"/>
  <c r="AG24" i="11"/>
  <c r="H32" i="17"/>
  <c r="H28" i="17"/>
  <c r="AG16" i="11" s="1"/>
  <c r="H24" i="17"/>
  <c r="H50" i="17"/>
  <c r="H70" i="17"/>
  <c r="H61" i="17"/>
  <c r="AG11" i="13" s="1"/>
  <c r="H93" i="17"/>
  <c r="H89" i="17"/>
  <c r="H85" i="17"/>
  <c r="H81" i="17"/>
  <c r="H5" i="17"/>
  <c r="AG11" i="10" s="1"/>
  <c r="H16" i="17"/>
  <c r="AG22" i="10" s="1"/>
  <c r="H12" i="17"/>
  <c r="AG18" i="10" s="1"/>
  <c r="H58" i="17"/>
  <c r="H54" i="17"/>
  <c r="H45" i="17"/>
  <c r="H60" i="17"/>
  <c r="AG10" i="13" s="1"/>
  <c r="H75" i="17"/>
  <c r="H65" i="17"/>
  <c r="AG15" i="13" s="1"/>
  <c r="H79" i="17"/>
  <c r="H92" i="17"/>
  <c r="H88" i="17"/>
  <c r="H84" i="17"/>
  <c r="H80" i="17"/>
  <c r="H20" i="17"/>
  <c r="AG26" i="10" s="1"/>
  <c r="BL15" i="11"/>
  <c r="CA26" i="12"/>
  <c r="CA27" i="12"/>
  <c r="FO27" i="12" s="1"/>
  <c r="DG13" i="11"/>
  <c r="BL15" i="12"/>
  <c r="BL24" i="12"/>
  <c r="BI24" i="12"/>
  <c r="BL10" i="12"/>
  <c r="FO8" i="12" l="1"/>
  <c r="G147" i="17" s="1"/>
  <c r="H2" i="17"/>
  <c r="BI10" i="12"/>
  <c r="BI15" i="12"/>
  <c r="BV21" i="12"/>
  <c r="BL18" i="12"/>
  <c r="BI21" i="12"/>
  <c r="BI18" i="12"/>
  <c r="BL21" i="12"/>
  <c r="BO7" i="17"/>
  <c r="BO6" i="17"/>
  <c r="BP6" i="17"/>
  <c r="BO9" i="17"/>
  <c r="BP9" i="17"/>
  <c r="BP7" i="17"/>
  <c r="BP5" i="17"/>
  <c r="BO5" i="17"/>
  <c r="BN5" i="17"/>
  <c r="BM7" i="17"/>
  <c r="BL9" i="17"/>
  <c r="BM9" i="17"/>
  <c r="BN9" i="17"/>
  <c r="BM5" i="17"/>
  <c r="BL5" i="17"/>
  <c r="BL7" i="17"/>
  <c r="BM6" i="17"/>
  <c r="BN6" i="17"/>
  <c r="BL6" i="17"/>
  <c r="BN7" i="17"/>
  <c r="O136" i="17"/>
  <c r="O137" i="17"/>
  <c r="O138" i="17"/>
  <c r="O140" i="17"/>
  <c r="AY18" i="12"/>
  <c r="BB15" i="12"/>
  <c r="BB18" i="12"/>
  <c r="AY15" i="12"/>
  <c r="BB10" i="12"/>
  <c r="AY10" i="12"/>
  <c r="G64" i="17"/>
  <c r="G74" i="17"/>
  <c r="G73" i="17"/>
  <c r="G71" i="17"/>
  <c r="G69" i="17"/>
  <c r="G2" i="17" l="1"/>
  <c r="L2" i="17" s="1"/>
  <c r="L139" i="17"/>
  <c r="M139" i="17"/>
  <c r="N139" i="17"/>
  <c r="K139" i="17"/>
  <c r="J139" i="17"/>
  <c r="I139" i="17"/>
  <c r="H139" i="17"/>
  <c r="G139" i="17"/>
  <c r="F139" i="17"/>
  <c r="H71" i="17"/>
  <c r="AG21" i="13" s="1"/>
  <c r="H74" i="17"/>
  <c r="AG24" i="13" s="1"/>
  <c r="H69" i="17"/>
  <c r="AG19" i="13" s="1"/>
  <c r="H77" i="17"/>
  <c r="AG27" i="13" s="1"/>
  <c r="H73" i="17"/>
  <c r="H64" i="17"/>
  <c r="Q14" i="13"/>
  <c r="I2" i="17" l="1"/>
  <c r="BO8" i="17"/>
  <c r="BO10" i="17" s="1"/>
  <c r="BP8" i="17"/>
  <c r="BP10" i="17" s="1"/>
  <c r="BL8" i="17"/>
  <c r="BL10" i="17" s="1"/>
  <c r="BM8" i="17"/>
  <c r="BM10" i="17" s="1"/>
  <c r="BN8" i="17"/>
  <c r="BN10" i="17" s="1"/>
  <c r="O139" i="17"/>
  <c r="BB14" i="14"/>
  <c r="BB15" i="14"/>
  <c r="CM14" i="14"/>
  <c r="BL13" i="14"/>
  <c r="BI17" i="14"/>
  <c r="CZ30" i="11"/>
  <c r="CM13" i="11"/>
  <c r="L17" i="10"/>
  <c r="BQ10" i="17" l="1"/>
  <c r="J14" i="14"/>
  <c r="I13" i="11"/>
  <c r="H13" i="11"/>
  <c r="J16" i="11"/>
  <c r="I16" i="11"/>
  <c r="K14" i="14"/>
  <c r="CI29" i="12" l="1"/>
  <c r="CI30" i="12"/>
  <c r="CI31" i="12"/>
  <c r="AG18" i="16" l="1"/>
  <c r="AF18" i="16"/>
  <c r="AE18" i="16"/>
  <c r="AD18" i="16"/>
  <c r="AC18" i="16"/>
  <c r="AG17" i="16"/>
  <c r="AF17" i="16"/>
  <c r="AE17" i="16"/>
  <c r="AD17" i="16"/>
  <c r="AC17" i="16"/>
  <c r="AG16" i="16"/>
  <c r="AF16" i="16"/>
  <c r="AE16" i="16"/>
  <c r="AD16" i="16"/>
  <c r="AC16" i="16"/>
  <c r="AG15" i="16"/>
  <c r="AF15" i="16"/>
  <c r="AE15" i="16"/>
  <c r="AD15" i="16"/>
  <c r="AC15" i="16"/>
  <c r="U18" i="16"/>
  <c r="U17" i="16"/>
  <c r="U16" i="16"/>
  <c r="U15" i="16"/>
  <c r="T18" i="16"/>
  <c r="T17" i="16"/>
  <c r="T16" i="16"/>
  <c r="T15" i="16"/>
  <c r="S18" i="16"/>
  <c r="S17" i="16"/>
  <c r="S16" i="16"/>
  <c r="S15" i="16"/>
  <c r="R18" i="16"/>
  <c r="R17" i="16"/>
  <c r="R16" i="16"/>
  <c r="R15" i="16"/>
  <c r="Q18" i="16"/>
  <c r="Q17" i="16"/>
  <c r="Q16" i="16"/>
  <c r="Q15" i="16"/>
  <c r="H11" i="15"/>
  <c r="I11" i="15"/>
  <c r="J11" i="15"/>
  <c r="K11" i="15"/>
  <c r="L11" i="15"/>
  <c r="M11" i="15"/>
  <c r="N11" i="15"/>
  <c r="O11" i="15"/>
  <c r="P11" i="15"/>
  <c r="Q11" i="15"/>
  <c r="J12" i="15"/>
  <c r="K12" i="15"/>
  <c r="L12" i="15"/>
  <c r="M12" i="15"/>
  <c r="N12" i="15"/>
  <c r="O12" i="15"/>
  <c r="P12" i="15"/>
  <c r="Q12" i="15"/>
  <c r="J13" i="15"/>
  <c r="K13" i="15"/>
  <c r="L13" i="15"/>
  <c r="M13" i="15"/>
  <c r="N13" i="15"/>
  <c r="O13" i="15"/>
  <c r="P13" i="15"/>
  <c r="Q13" i="15"/>
  <c r="I14" i="15"/>
  <c r="J14" i="15"/>
  <c r="K14" i="15"/>
  <c r="L14" i="15"/>
  <c r="M14" i="15"/>
  <c r="N14" i="15"/>
  <c r="O14" i="15"/>
  <c r="P14" i="15"/>
  <c r="Q14" i="15"/>
  <c r="H15" i="15"/>
  <c r="I15" i="15"/>
  <c r="J15" i="15"/>
  <c r="K15" i="15"/>
  <c r="L15" i="15"/>
  <c r="M15" i="15"/>
  <c r="N15" i="15"/>
  <c r="O15" i="15"/>
  <c r="P15" i="15"/>
  <c r="Q15" i="15"/>
  <c r="G16" i="15"/>
  <c r="H16" i="15"/>
  <c r="I16" i="15"/>
  <c r="J16" i="15"/>
  <c r="K16" i="15"/>
  <c r="L16" i="15"/>
  <c r="M16" i="15"/>
  <c r="N16" i="15"/>
  <c r="O16" i="15"/>
  <c r="P16" i="15"/>
  <c r="Q16" i="15"/>
  <c r="I17" i="15"/>
  <c r="K17" i="15"/>
  <c r="L17" i="15"/>
  <c r="M17" i="15"/>
  <c r="N17" i="15"/>
  <c r="O17" i="15"/>
  <c r="P17" i="15"/>
  <c r="Q17" i="15"/>
  <c r="F18" i="15"/>
  <c r="G18" i="15"/>
  <c r="H18" i="15"/>
  <c r="I18" i="15"/>
  <c r="J18" i="15"/>
  <c r="K18" i="15"/>
  <c r="L18" i="15"/>
  <c r="M18" i="15"/>
  <c r="N18" i="15"/>
  <c r="O18" i="15"/>
  <c r="P18" i="15"/>
  <c r="Q18" i="15"/>
  <c r="F19" i="15"/>
  <c r="G19" i="15"/>
  <c r="H19" i="15"/>
  <c r="I19" i="15"/>
  <c r="J19" i="15"/>
  <c r="K19" i="15"/>
  <c r="L19" i="15"/>
  <c r="M19" i="15"/>
  <c r="N19" i="15"/>
  <c r="O19" i="15"/>
  <c r="P19" i="15"/>
  <c r="Q19" i="15"/>
  <c r="F20" i="15"/>
  <c r="G20" i="15"/>
  <c r="H20" i="15"/>
  <c r="I20" i="15"/>
  <c r="J20" i="15"/>
  <c r="K20" i="15"/>
  <c r="L20" i="15"/>
  <c r="M20" i="15"/>
  <c r="N20" i="15"/>
  <c r="O20" i="15"/>
  <c r="P20" i="15"/>
  <c r="Q20" i="15"/>
  <c r="F21" i="15"/>
  <c r="G21" i="15"/>
  <c r="H21" i="15"/>
  <c r="I21" i="15"/>
  <c r="J21" i="15"/>
  <c r="K21" i="15"/>
  <c r="L21" i="15"/>
  <c r="M21" i="15"/>
  <c r="N21" i="15"/>
  <c r="O21" i="15"/>
  <c r="P21" i="15"/>
  <c r="Q21" i="15"/>
  <c r="F22" i="15"/>
  <c r="G22" i="15"/>
  <c r="H22" i="15"/>
  <c r="I22" i="15"/>
  <c r="J22" i="15"/>
  <c r="K22" i="15"/>
  <c r="L22" i="15"/>
  <c r="M22" i="15"/>
  <c r="N22" i="15"/>
  <c r="O22" i="15"/>
  <c r="P22" i="15"/>
  <c r="Q22" i="15"/>
  <c r="F23" i="15"/>
  <c r="G23" i="15"/>
  <c r="H23" i="15"/>
  <c r="I23" i="15"/>
  <c r="J23" i="15"/>
  <c r="K23" i="15"/>
  <c r="L23" i="15"/>
  <c r="M23" i="15"/>
  <c r="N23" i="15"/>
  <c r="O23" i="15"/>
  <c r="P23" i="15"/>
  <c r="Q23" i="15"/>
  <c r="F24" i="15"/>
  <c r="G24" i="15"/>
  <c r="H24" i="15"/>
  <c r="I24" i="15"/>
  <c r="J24" i="15"/>
  <c r="K24" i="15"/>
  <c r="L24" i="15"/>
  <c r="M24" i="15"/>
  <c r="N24" i="15"/>
  <c r="O24" i="15"/>
  <c r="P24" i="15"/>
  <c r="Q24" i="15"/>
  <c r="F25" i="15"/>
  <c r="G25" i="15"/>
  <c r="H25" i="15"/>
  <c r="I25" i="15"/>
  <c r="J25" i="15"/>
  <c r="K25" i="15"/>
  <c r="L25" i="15"/>
  <c r="M25" i="15"/>
  <c r="N25" i="15"/>
  <c r="O25" i="15"/>
  <c r="P25" i="15"/>
  <c r="Q25" i="15"/>
  <c r="F26" i="15"/>
  <c r="G26" i="15"/>
  <c r="H26" i="15"/>
  <c r="I26" i="15"/>
  <c r="J26" i="15"/>
  <c r="K26" i="15"/>
  <c r="L26" i="15"/>
  <c r="M26" i="15"/>
  <c r="N26" i="15"/>
  <c r="O26" i="15"/>
  <c r="P26" i="15"/>
  <c r="Q26" i="15"/>
  <c r="F27" i="15"/>
  <c r="G27" i="15"/>
  <c r="H27" i="15"/>
  <c r="I27" i="15"/>
  <c r="J27" i="15"/>
  <c r="K27" i="15"/>
  <c r="L27" i="15"/>
  <c r="M27" i="15"/>
  <c r="N27" i="15"/>
  <c r="O27" i="15"/>
  <c r="P27" i="15"/>
  <c r="Q27" i="15"/>
  <c r="F28" i="15"/>
  <c r="G28" i="15"/>
  <c r="H28" i="15"/>
  <c r="I28" i="15"/>
  <c r="J28" i="15"/>
  <c r="K28" i="15"/>
  <c r="L28" i="15"/>
  <c r="M28" i="15"/>
  <c r="N28" i="15"/>
  <c r="O28" i="15"/>
  <c r="P28" i="15"/>
  <c r="Q28" i="15"/>
  <c r="F29" i="15"/>
  <c r="G29" i="15"/>
  <c r="H29" i="15"/>
  <c r="I29" i="15"/>
  <c r="J29" i="15"/>
  <c r="K29" i="15"/>
  <c r="L29" i="15"/>
  <c r="M29" i="15"/>
  <c r="N29" i="15"/>
  <c r="O29" i="15"/>
  <c r="P29" i="15"/>
  <c r="Q29" i="15"/>
  <c r="F30" i="15"/>
  <c r="G30" i="15"/>
  <c r="H30" i="15"/>
  <c r="I30" i="15"/>
  <c r="J30" i="15"/>
  <c r="K30" i="15"/>
  <c r="L30" i="15"/>
  <c r="M30" i="15"/>
  <c r="N30" i="15"/>
  <c r="O30" i="15"/>
  <c r="P30" i="15"/>
  <c r="Q30" i="15"/>
  <c r="F31" i="15"/>
  <c r="G31" i="15"/>
  <c r="H31" i="15"/>
  <c r="I31" i="15"/>
  <c r="J31" i="15"/>
  <c r="K31" i="15"/>
  <c r="L31" i="15"/>
  <c r="M31" i="15"/>
  <c r="N31" i="15"/>
  <c r="O31" i="15"/>
  <c r="P31" i="15"/>
  <c r="Q31" i="15"/>
  <c r="K10" i="15"/>
  <c r="L10" i="15"/>
  <c r="M10" i="15"/>
  <c r="N10" i="15"/>
  <c r="O10" i="15"/>
  <c r="P10" i="15"/>
  <c r="Q10" i="15"/>
  <c r="L11" i="14"/>
  <c r="M11" i="14"/>
  <c r="N11" i="14"/>
  <c r="O11" i="14"/>
  <c r="P11" i="14"/>
  <c r="Q11" i="14"/>
  <c r="K12" i="14"/>
  <c r="L12" i="14"/>
  <c r="M12" i="14"/>
  <c r="N12" i="14"/>
  <c r="O12" i="14"/>
  <c r="P12" i="14"/>
  <c r="Q12" i="14"/>
  <c r="J13" i="14"/>
  <c r="K13" i="14"/>
  <c r="L13" i="14"/>
  <c r="M13" i="14"/>
  <c r="N13" i="14"/>
  <c r="O13" i="14"/>
  <c r="P13" i="14"/>
  <c r="Q13" i="14"/>
  <c r="M14" i="14"/>
  <c r="N14" i="14"/>
  <c r="O14" i="14"/>
  <c r="P14" i="14"/>
  <c r="Q14" i="14"/>
  <c r="N15" i="14"/>
  <c r="O15" i="14"/>
  <c r="P15" i="14"/>
  <c r="Q15" i="14"/>
  <c r="K16" i="14"/>
  <c r="L16" i="14"/>
  <c r="M16" i="14"/>
  <c r="N16" i="14"/>
  <c r="O16" i="14"/>
  <c r="P16" i="14"/>
  <c r="Q16" i="14"/>
  <c r="I17" i="14"/>
  <c r="J17" i="14"/>
  <c r="K17" i="14"/>
  <c r="L17" i="14"/>
  <c r="M17" i="14"/>
  <c r="N17" i="14"/>
  <c r="O17" i="14"/>
  <c r="P17" i="14"/>
  <c r="Q17" i="14"/>
  <c r="O18" i="14"/>
  <c r="P18" i="14"/>
  <c r="Q18" i="14"/>
  <c r="K19" i="14"/>
  <c r="L19" i="14"/>
  <c r="M19" i="14"/>
  <c r="N19" i="14"/>
  <c r="O19" i="14"/>
  <c r="P19" i="14"/>
  <c r="Q19" i="14"/>
  <c r="J20" i="14"/>
  <c r="K20" i="14"/>
  <c r="L20" i="14"/>
  <c r="M20" i="14"/>
  <c r="N20" i="14"/>
  <c r="O20" i="14"/>
  <c r="P20" i="14"/>
  <c r="Q20" i="14"/>
  <c r="M21" i="14"/>
  <c r="N21" i="14"/>
  <c r="O21" i="14"/>
  <c r="P21" i="14"/>
  <c r="Q21" i="14"/>
  <c r="L22" i="14"/>
  <c r="M22" i="14"/>
  <c r="N22" i="14"/>
  <c r="O22" i="14"/>
  <c r="P22" i="14"/>
  <c r="Q22" i="14"/>
  <c r="K23" i="14"/>
  <c r="L23" i="14"/>
  <c r="M23" i="14"/>
  <c r="N23" i="14"/>
  <c r="O23" i="14"/>
  <c r="P23" i="14"/>
  <c r="Q23" i="14"/>
  <c r="M24" i="14"/>
  <c r="N24" i="14"/>
  <c r="O24" i="14"/>
  <c r="P24" i="14"/>
  <c r="Q24" i="14"/>
  <c r="K25" i="14"/>
  <c r="L25" i="14"/>
  <c r="M25" i="14"/>
  <c r="N25" i="14"/>
  <c r="O25" i="14"/>
  <c r="P25" i="14"/>
  <c r="Q25" i="14"/>
  <c r="J26" i="14"/>
  <c r="K26" i="14"/>
  <c r="L26" i="14"/>
  <c r="M26" i="14"/>
  <c r="N26" i="14"/>
  <c r="O26" i="14"/>
  <c r="P26" i="14"/>
  <c r="Q26" i="14"/>
  <c r="F27" i="14"/>
  <c r="G27" i="14"/>
  <c r="H27" i="14"/>
  <c r="I27" i="14"/>
  <c r="J27" i="14"/>
  <c r="K27" i="14"/>
  <c r="L27" i="14"/>
  <c r="M27" i="14"/>
  <c r="N27" i="14"/>
  <c r="O27" i="14"/>
  <c r="P27" i="14"/>
  <c r="Q27" i="14"/>
  <c r="F28" i="14"/>
  <c r="G28" i="14"/>
  <c r="H28" i="14"/>
  <c r="I28" i="14"/>
  <c r="J28" i="14"/>
  <c r="K28" i="14"/>
  <c r="L28" i="14"/>
  <c r="M28" i="14"/>
  <c r="N28" i="14"/>
  <c r="O28" i="14"/>
  <c r="P28" i="14"/>
  <c r="Q28" i="14"/>
  <c r="F29" i="14"/>
  <c r="G29" i="14"/>
  <c r="H29" i="14"/>
  <c r="I29" i="14"/>
  <c r="J29" i="14"/>
  <c r="K29" i="14"/>
  <c r="L29" i="14"/>
  <c r="M29" i="14"/>
  <c r="N29" i="14"/>
  <c r="O29" i="14"/>
  <c r="P29" i="14"/>
  <c r="Q29" i="14"/>
  <c r="F30" i="14"/>
  <c r="G30" i="14"/>
  <c r="H30" i="14"/>
  <c r="I30" i="14"/>
  <c r="J30" i="14"/>
  <c r="K30" i="14"/>
  <c r="L30" i="14"/>
  <c r="M30" i="14"/>
  <c r="N30" i="14"/>
  <c r="O30" i="14"/>
  <c r="P30" i="14"/>
  <c r="Q30" i="14"/>
  <c r="F31" i="14"/>
  <c r="G31" i="14"/>
  <c r="H31" i="14"/>
  <c r="I31" i="14"/>
  <c r="J31" i="14"/>
  <c r="K31" i="14"/>
  <c r="L31" i="14"/>
  <c r="M31" i="14"/>
  <c r="N31" i="14"/>
  <c r="O31" i="14"/>
  <c r="P31" i="14"/>
  <c r="Q31" i="14"/>
  <c r="M10" i="14"/>
  <c r="N10" i="14"/>
  <c r="O10" i="14"/>
  <c r="P10" i="14"/>
  <c r="Q10" i="14"/>
  <c r="Q11" i="13"/>
  <c r="Q12" i="13"/>
  <c r="P13" i="13"/>
  <c r="Q13" i="13"/>
  <c r="Q15" i="13"/>
  <c r="P16" i="13"/>
  <c r="Q16" i="13"/>
  <c r="N17" i="13"/>
  <c r="O17" i="13"/>
  <c r="P17" i="13"/>
  <c r="Q17" i="13"/>
  <c r="O18" i="13"/>
  <c r="P18" i="13"/>
  <c r="Q18" i="13"/>
  <c r="P19" i="13"/>
  <c r="Q19" i="13"/>
  <c r="M20" i="13"/>
  <c r="N20" i="13"/>
  <c r="O20" i="13"/>
  <c r="P20" i="13"/>
  <c r="Q20" i="13"/>
  <c r="M21" i="13"/>
  <c r="N21" i="13"/>
  <c r="O21" i="13"/>
  <c r="P21" i="13"/>
  <c r="Q21" i="13"/>
  <c r="N22" i="13"/>
  <c r="O22" i="13"/>
  <c r="P22" i="13"/>
  <c r="Q22" i="13"/>
  <c r="Q23" i="13"/>
  <c r="P24" i="13"/>
  <c r="Q24" i="13"/>
  <c r="P25" i="13"/>
  <c r="Q25" i="13"/>
  <c r="N26" i="13"/>
  <c r="O26" i="13"/>
  <c r="P26" i="13"/>
  <c r="Q26" i="13"/>
  <c r="N27" i="13"/>
  <c r="O27" i="13"/>
  <c r="P27" i="13"/>
  <c r="Q27" i="13"/>
  <c r="J28" i="13"/>
  <c r="K28" i="13"/>
  <c r="L28" i="13"/>
  <c r="M28" i="13"/>
  <c r="N28" i="13"/>
  <c r="O28" i="13"/>
  <c r="P28" i="13"/>
  <c r="Q28" i="13"/>
  <c r="F29" i="13"/>
  <c r="G29" i="13"/>
  <c r="H29" i="13"/>
  <c r="I29" i="13"/>
  <c r="J29" i="13"/>
  <c r="K29" i="13"/>
  <c r="L29" i="13"/>
  <c r="M29" i="13"/>
  <c r="N29" i="13"/>
  <c r="O29" i="13"/>
  <c r="P29" i="13"/>
  <c r="Q29" i="13"/>
  <c r="F30" i="13"/>
  <c r="G30" i="13"/>
  <c r="H30" i="13"/>
  <c r="I30" i="13"/>
  <c r="J30" i="13"/>
  <c r="K30" i="13"/>
  <c r="L30" i="13"/>
  <c r="M30" i="13"/>
  <c r="N30" i="13"/>
  <c r="O30" i="13"/>
  <c r="P30" i="13"/>
  <c r="Q30" i="13"/>
  <c r="F31" i="13"/>
  <c r="G31" i="13"/>
  <c r="H31" i="13"/>
  <c r="I31" i="13"/>
  <c r="J31" i="13"/>
  <c r="K31" i="13"/>
  <c r="L31" i="13"/>
  <c r="M31" i="13"/>
  <c r="N31" i="13"/>
  <c r="O31" i="13"/>
  <c r="P31" i="13"/>
  <c r="Q31" i="13"/>
  <c r="P10" i="13"/>
  <c r="Q10" i="13"/>
  <c r="N11" i="12"/>
  <c r="O11" i="12"/>
  <c r="P11" i="12"/>
  <c r="Q11" i="12"/>
  <c r="L13" i="12"/>
  <c r="M13" i="12"/>
  <c r="N13" i="12"/>
  <c r="O13" i="12"/>
  <c r="P13" i="12"/>
  <c r="Q13" i="12"/>
  <c r="M14" i="12"/>
  <c r="N14" i="12"/>
  <c r="O14" i="12"/>
  <c r="P14" i="12"/>
  <c r="Q14" i="12"/>
  <c r="L15" i="12"/>
  <c r="M15" i="12"/>
  <c r="N15" i="12"/>
  <c r="O15" i="12"/>
  <c r="P15" i="12"/>
  <c r="Q15" i="12"/>
  <c r="O16" i="12"/>
  <c r="P16" i="12"/>
  <c r="Q16" i="12"/>
  <c r="O17" i="12"/>
  <c r="P17" i="12"/>
  <c r="Q17" i="12"/>
  <c r="M18" i="12"/>
  <c r="N18" i="12"/>
  <c r="O18" i="12"/>
  <c r="P18" i="12"/>
  <c r="Q18" i="12"/>
  <c r="N19" i="12"/>
  <c r="O19" i="12"/>
  <c r="P19" i="12"/>
  <c r="Q19" i="12"/>
  <c r="O20" i="12"/>
  <c r="P20" i="12"/>
  <c r="Q20" i="12"/>
  <c r="J21" i="12"/>
  <c r="K21" i="12"/>
  <c r="L21" i="12"/>
  <c r="M21" i="12"/>
  <c r="N21" i="12"/>
  <c r="O21" i="12"/>
  <c r="P21" i="12"/>
  <c r="Q21" i="12"/>
  <c r="N22" i="12"/>
  <c r="O22" i="12"/>
  <c r="P22" i="12"/>
  <c r="Q22" i="12"/>
  <c r="M23" i="12"/>
  <c r="N23" i="12"/>
  <c r="O23" i="12"/>
  <c r="P23" i="12"/>
  <c r="Q23" i="12"/>
  <c r="N24" i="12"/>
  <c r="O24" i="12"/>
  <c r="P24" i="12"/>
  <c r="Q24" i="12"/>
  <c r="K25" i="12"/>
  <c r="L25" i="12"/>
  <c r="M25" i="12"/>
  <c r="N25" i="12"/>
  <c r="O25" i="12"/>
  <c r="P25" i="12"/>
  <c r="Q25" i="12"/>
  <c r="M26" i="12"/>
  <c r="N26" i="12"/>
  <c r="O26" i="12"/>
  <c r="P26" i="12"/>
  <c r="Q26" i="12"/>
  <c r="I27" i="12"/>
  <c r="J27" i="12"/>
  <c r="K27" i="12"/>
  <c r="L27" i="12"/>
  <c r="M27" i="12"/>
  <c r="N27" i="12"/>
  <c r="O27" i="12"/>
  <c r="P27" i="12"/>
  <c r="Q27" i="12"/>
  <c r="K28" i="12"/>
  <c r="L28" i="12"/>
  <c r="M28" i="12"/>
  <c r="N28" i="12"/>
  <c r="O28" i="12"/>
  <c r="P28" i="12"/>
  <c r="Q28" i="12"/>
  <c r="G29" i="12"/>
  <c r="H29" i="12"/>
  <c r="I29" i="12"/>
  <c r="J29" i="12"/>
  <c r="K29" i="12"/>
  <c r="L29" i="12"/>
  <c r="M29" i="12"/>
  <c r="N29" i="12"/>
  <c r="O29" i="12"/>
  <c r="P29" i="12"/>
  <c r="Q29" i="12"/>
  <c r="F30" i="12"/>
  <c r="G30" i="12"/>
  <c r="H30" i="12"/>
  <c r="I30" i="12"/>
  <c r="J30" i="12"/>
  <c r="K30" i="12"/>
  <c r="L30" i="12"/>
  <c r="M30" i="12"/>
  <c r="N30" i="12"/>
  <c r="O30" i="12"/>
  <c r="P30" i="12"/>
  <c r="Q30" i="12"/>
  <c r="F31" i="12"/>
  <c r="G31" i="12"/>
  <c r="H31" i="12"/>
  <c r="I31" i="12"/>
  <c r="J31" i="12"/>
  <c r="K31" i="12"/>
  <c r="L31" i="12"/>
  <c r="M31" i="12"/>
  <c r="N31" i="12"/>
  <c r="O31" i="12"/>
  <c r="P31" i="12"/>
  <c r="Q31" i="12"/>
  <c r="M10" i="12"/>
  <c r="N10" i="12"/>
  <c r="O10" i="12"/>
  <c r="P10" i="12"/>
  <c r="Q10" i="12"/>
  <c r="M11" i="11"/>
  <c r="N11" i="11"/>
  <c r="O11" i="11"/>
  <c r="P11" i="11"/>
  <c r="Q11" i="11"/>
  <c r="L12" i="11"/>
  <c r="M12" i="11"/>
  <c r="N12" i="11"/>
  <c r="O12" i="11"/>
  <c r="P12" i="11"/>
  <c r="Q12" i="11"/>
  <c r="M13" i="11"/>
  <c r="N13" i="11"/>
  <c r="O13" i="11"/>
  <c r="P13" i="11"/>
  <c r="Q13" i="11"/>
  <c r="M14" i="11"/>
  <c r="N14" i="11"/>
  <c r="O14" i="11"/>
  <c r="P14" i="11"/>
  <c r="Q14" i="11"/>
  <c r="K15" i="11"/>
  <c r="L15" i="11"/>
  <c r="M15" i="11"/>
  <c r="N15" i="11"/>
  <c r="O15" i="11"/>
  <c r="P15" i="11"/>
  <c r="Q15" i="11"/>
  <c r="M16" i="11"/>
  <c r="N16" i="11"/>
  <c r="O16" i="11"/>
  <c r="P16" i="11"/>
  <c r="Q16" i="11"/>
  <c r="M17" i="11"/>
  <c r="N17" i="11"/>
  <c r="O17" i="11"/>
  <c r="P17" i="11"/>
  <c r="Q17" i="11"/>
  <c r="J18" i="11"/>
  <c r="K18" i="11"/>
  <c r="L18" i="11"/>
  <c r="M18" i="11"/>
  <c r="N18" i="11"/>
  <c r="O18" i="11"/>
  <c r="P18" i="11"/>
  <c r="Q18" i="11"/>
  <c r="M19" i="11"/>
  <c r="N19" i="11"/>
  <c r="O19" i="11"/>
  <c r="P19" i="11"/>
  <c r="Q19" i="11"/>
  <c r="J20" i="11"/>
  <c r="K20" i="11"/>
  <c r="L20" i="11"/>
  <c r="M20" i="11"/>
  <c r="N20" i="11"/>
  <c r="O20" i="11"/>
  <c r="P20" i="11"/>
  <c r="Q20" i="11"/>
  <c r="L21" i="11"/>
  <c r="M21" i="11"/>
  <c r="N21" i="11"/>
  <c r="O21" i="11"/>
  <c r="P21" i="11"/>
  <c r="Q21" i="11"/>
  <c r="L22" i="11"/>
  <c r="M22" i="11"/>
  <c r="N22" i="11"/>
  <c r="O22" i="11"/>
  <c r="P22" i="11"/>
  <c r="Q22" i="11"/>
  <c r="J23" i="11"/>
  <c r="K23" i="11"/>
  <c r="L23" i="11"/>
  <c r="M23" i="11"/>
  <c r="N23" i="11"/>
  <c r="O23" i="11"/>
  <c r="P23" i="11"/>
  <c r="Q23" i="11"/>
  <c r="N24" i="11"/>
  <c r="O24" i="11"/>
  <c r="P24" i="11"/>
  <c r="Q24" i="11"/>
  <c r="K25" i="11"/>
  <c r="L25" i="11"/>
  <c r="M25" i="11"/>
  <c r="N25" i="11"/>
  <c r="O25" i="11"/>
  <c r="P25" i="11"/>
  <c r="Q25" i="11"/>
  <c r="J26" i="11"/>
  <c r="K26" i="11"/>
  <c r="L26" i="11"/>
  <c r="M26" i="11"/>
  <c r="N26" i="11"/>
  <c r="O26" i="11"/>
  <c r="P26" i="11"/>
  <c r="Q26" i="11"/>
  <c r="G27" i="11"/>
  <c r="H27" i="11"/>
  <c r="I27" i="11"/>
  <c r="J27" i="11"/>
  <c r="K27" i="11"/>
  <c r="L27" i="11"/>
  <c r="M27" i="11"/>
  <c r="N27" i="11"/>
  <c r="O27" i="11"/>
  <c r="P27" i="11"/>
  <c r="Q27" i="11"/>
  <c r="L28" i="11"/>
  <c r="M28" i="11"/>
  <c r="N28" i="11"/>
  <c r="O28" i="11"/>
  <c r="P28" i="11"/>
  <c r="Q28" i="11"/>
  <c r="F29" i="11"/>
  <c r="G29" i="11"/>
  <c r="H29" i="11"/>
  <c r="I29" i="11"/>
  <c r="J29" i="11"/>
  <c r="K29" i="11"/>
  <c r="L29" i="11"/>
  <c r="M29" i="11"/>
  <c r="N29" i="11"/>
  <c r="O29" i="11"/>
  <c r="P29" i="11"/>
  <c r="Q29" i="11"/>
  <c r="F30" i="11"/>
  <c r="G30" i="11"/>
  <c r="H30" i="11"/>
  <c r="I30" i="11"/>
  <c r="J30" i="11"/>
  <c r="K30" i="11"/>
  <c r="L30" i="11"/>
  <c r="M30" i="11"/>
  <c r="N30" i="11"/>
  <c r="O30" i="11"/>
  <c r="P30" i="11"/>
  <c r="Q30" i="11"/>
  <c r="F31" i="11"/>
  <c r="G31" i="11"/>
  <c r="H31" i="11"/>
  <c r="I31" i="11"/>
  <c r="J31" i="11"/>
  <c r="K31" i="11"/>
  <c r="L31" i="11"/>
  <c r="M31" i="11"/>
  <c r="N31" i="11"/>
  <c r="O31" i="11"/>
  <c r="P31" i="11"/>
  <c r="Q31" i="11"/>
  <c r="J10" i="11"/>
  <c r="K10" i="11"/>
  <c r="L10" i="11"/>
  <c r="M10" i="11"/>
  <c r="N10" i="11"/>
  <c r="O10" i="11"/>
  <c r="P10" i="11"/>
  <c r="Q10" i="11"/>
  <c r="K11" i="10"/>
  <c r="L11" i="10"/>
  <c r="M11" i="10"/>
  <c r="N11" i="10"/>
  <c r="O11" i="10"/>
  <c r="P11" i="10"/>
  <c r="Q11" i="10"/>
  <c r="L12" i="10"/>
  <c r="M12" i="10"/>
  <c r="N12" i="10"/>
  <c r="O12" i="10"/>
  <c r="P12" i="10"/>
  <c r="Q12" i="10"/>
  <c r="N13" i="10"/>
  <c r="O13" i="10"/>
  <c r="P13" i="10"/>
  <c r="Q13" i="10"/>
  <c r="L14" i="10"/>
  <c r="M14" i="10"/>
  <c r="N14" i="10"/>
  <c r="O14" i="10"/>
  <c r="P14" i="10"/>
  <c r="Q14" i="10"/>
  <c r="K15" i="10"/>
  <c r="L15" i="10"/>
  <c r="M15" i="10"/>
  <c r="N15" i="10"/>
  <c r="O15" i="10"/>
  <c r="P15" i="10"/>
  <c r="Q15" i="10"/>
  <c r="M16" i="10"/>
  <c r="N16" i="10"/>
  <c r="O16" i="10"/>
  <c r="P16" i="10"/>
  <c r="Q16" i="10"/>
  <c r="M17" i="10"/>
  <c r="N17" i="10"/>
  <c r="O17" i="10"/>
  <c r="P17" i="10"/>
  <c r="Q17" i="10"/>
  <c r="L18" i="10"/>
  <c r="M18" i="10"/>
  <c r="N18" i="10"/>
  <c r="O18" i="10"/>
  <c r="P18" i="10"/>
  <c r="Q18" i="10"/>
  <c r="M19" i="10"/>
  <c r="N19" i="10"/>
  <c r="O19" i="10"/>
  <c r="P19" i="10"/>
  <c r="Q19" i="10"/>
  <c r="M20" i="10"/>
  <c r="N20" i="10"/>
  <c r="O20" i="10"/>
  <c r="P20" i="10"/>
  <c r="Q20" i="10"/>
  <c r="L21" i="10"/>
  <c r="M21" i="10"/>
  <c r="N21" i="10"/>
  <c r="O21" i="10"/>
  <c r="P21" i="10"/>
  <c r="Q21" i="10"/>
  <c r="L22" i="10"/>
  <c r="M22" i="10"/>
  <c r="N22" i="10"/>
  <c r="O22" i="10"/>
  <c r="P22" i="10"/>
  <c r="Q22" i="10"/>
  <c r="L23" i="10"/>
  <c r="M23" i="10"/>
  <c r="N23" i="10"/>
  <c r="O23" i="10"/>
  <c r="P23" i="10"/>
  <c r="Q23" i="10"/>
  <c r="M24" i="10"/>
  <c r="N24" i="10"/>
  <c r="O24" i="10"/>
  <c r="P24" i="10"/>
  <c r="Q24" i="10"/>
  <c r="L25" i="10"/>
  <c r="M25" i="10"/>
  <c r="N25" i="10"/>
  <c r="O25" i="10"/>
  <c r="P25" i="10"/>
  <c r="Q25" i="10"/>
  <c r="L26" i="10"/>
  <c r="M26" i="10"/>
  <c r="N26" i="10"/>
  <c r="O26" i="10"/>
  <c r="P26" i="10"/>
  <c r="Q26" i="10"/>
  <c r="L27" i="10"/>
  <c r="M27" i="10"/>
  <c r="N27" i="10"/>
  <c r="O27" i="10"/>
  <c r="P27" i="10"/>
  <c r="Q27" i="10"/>
  <c r="F28" i="10"/>
  <c r="G28" i="10"/>
  <c r="H28" i="10"/>
  <c r="I28" i="10"/>
  <c r="J28" i="10"/>
  <c r="K28" i="10"/>
  <c r="L28" i="10"/>
  <c r="M28" i="10"/>
  <c r="N28" i="10"/>
  <c r="O28" i="10"/>
  <c r="P28" i="10"/>
  <c r="Q28" i="10"/>
  <c r="F29" i="10"/>
  <c r="G29" i="10"/>
  <c r="H29" i="10"/>
  <c r="I29" i="10"/>
  <c r="J29" i="10"/>
  <c r="K29" i="10"/>
  <c r="L29" i="10"/>
  <c r="M29" i="10"/>
  <c r="N29" i="10"/>
  <c r="O29" i="10"/>
  <c r="P29" i="10"/>
  <c r="Q29" i="10"/>
  <c r="F30" i="10"/>
  <c r="G30" i="10"/>
  <c r="H30" i="10"/>
  <c r="I30" i="10"/>
  <c r="J30" i="10"/>
  <c r="K30" i="10"/>
  <c r="L30" i="10"/>
  <c r="M30" i="10"/>
  <c r="N30" i="10"/>
  <c r="O30" i="10"/>
  <c r="P30" i="10"/>
  <c r="Q30" i="10"/>
  <c r="F31" i="10"/>
  <c r="G31" i="10"/>
  <c r="H31" i="10"/>
  <c r="I31" i="10"/>
  <c r="J31" i="10"/>
  <c r="K31" i="10"/>
  <c r="L31" i="10"/>
  <c r="M31" i="10"/>
  <c r="N31" i="10"/>
  <c r="O31" i="10"/>
  <c r="P31" i="10"/>
  <c r="Q31" i="10"/>
  <c r="K10" i="10"/>
  <c r="L10" i="10"/>
  <c r="M10" i="10"/>
  <c r="N10" i="10"/>
  <c r="O10" i="10"/>
  <c r="P10" i="10"/>
  <c r="Q10" i="10"/>
  <c r="W16" i="16" l="1"/>
  <c r="AH19" i="16"/>
  <c r="V19" i="16"/>
  <c r="U19" i="16"/>
  <c r="T19" i="16"/>
  <c r="AF19" i="16"/>
  <c r="AE19" i="16"/>
  <c r="AI16" i="16"/>
  <c r="AI18" i="16"/>
  <c r="AD19" i="16"/>
  <c r="AI17" i="16"/>
  <c r="R19" i="16"/>
  <c r="AG19" i="16"/>
  <c r="AC19" i="16"/>
  <c r="Q19" i="16"/>
  <c r="AI15" i="16"/>
  <c r="S19" i="16"/>
  <c r="W18" i="16"/>
  <c r="W17" i="16"/>
  <c r="W15" i="16"/>
  <c r="I17" i="16"/>
  <c r="I16" i="16"/>
  <c r="I15" i="16"/>
  <c r="H17" i="16"/>
  <c r="H16" i="16"/>
  <c r="H15" i="16"/>
  <c r="G17" i="16"/>
  <c r="G16" i="16"/>
  <c r="G15" i="16"/>
  <c r="F17" i="16"/>
  <c r="F16" i="16"/>
  <c r="F15" i="16"/>
  <c r="E15" i="16"/>
  <c r="E16" i="16"/>
  <c r="E17" i="16"/>
  <c r="E18" i="16"/>
  <c r="E19" i="16" l="1"/>
  <c r="K15" i="16"/>
  <c r="K16" i="16"/>
  <c r="AI19" i="16"/>
  <c r="W19" i="16"/>
  <c r="I19" i="16"/>
  <c r="F19" i="16"/>
  <c r="J19" i="16"/>
  <c r="H19" i="16"/>
  <c r="AY27" i="11" l="1"/>
  <c r="BI16" i="14"/>
  <c r="V9" i="16" l="1"/>
  <c r="CC24" i="14" l="1"/>
  <c r="CW11" i="14" l="1"/>
  <c r="BI18" i="11" l="1"/>
  <c r="CF22" i="11"/>
  <c r="BL12" i="11"/>
  <c r="AY26" i="11"/>
  <c r="BB23" i="10"/>
  <c r="BL21" i="14"/>
  <c r="BI21" i="14"/>
  <c r="BB10" i="10"/>
  <c r="CF14" i="14"/>
  <c r="CC14" i="14"/>
  <c r="BV14" i="14"/>
  <c r="BS14" i="14"/>
  <c r="BI14" i="14"/>
  <c r="BL14" i="14"/>
  <c r="BI13" i="14"/>
  <c r="CP21" i="14"/>
  <c r="BB12" i="14"/>
  <c r="CC11" i="14"/>
  <c r="FH31" i="15"/>
  <c r="FE31" i="15"/>
  <c r="EX31" i="15"/>
  <c r="EU31" i="15"/>
  <c r="EN31" i="15"/>
  <c r="EK31" i="15"/>
  <c r="ED31" i="15"/>
  <c r="EA31" i="15"/>
  <c r="DT31" i="15"/>
  <c r="DQ31" i="15"/>
  <c r="DJ31" i="15"/>
  <c r="DG31" i="15"/>
  <c r="CZ31" i="15"/>
  <c r="CW31" i="15"/>
  <c r="CP31" i="15"/>
  <c r="CM31" i="15"/>
  <c r="CF31" i="15"/>
  <c r="CC31" i="15"/>
  <c r="BV31" i="15"/>
  <c r="BS31" i="15"/>
  <c r="BL31" i="15"/>
  <c r="BI31" i="15"/>
  <c r="BB31" i="15"/>
  <c r="AY31" i="15"/>
  <c r="FH30" i="15"/>
  <c r="FE30" i="15"/>
  <c r="EX30" i="15"/>
  <c r="EU30" i="15"/>
  <c r="EN30" i="15"/>
  <c r="EK30" i="15"/>
  <c r="ED30" i="15"/>
  <c r="EA30" i="15"/>
  <c r="DT30" i="15"/>
  <c r="DQ30" i="15"/>
  <c r="DJ30" i="15"/>
  <c r="DG30" i="15"/>
  <c r="CZ30" i="15"/>
  <c r="CW30" i="15"/>
  <c r="CP30" i="15"/>
  <c r="CM30" i="15"/>
  <c r="CF30" i="15"/>
  <c r="CC30" i="15"/>
  <c r="BV30" i="15"/>
  <c r="BS30" i="15"/>
  <c r="BL30" i="15"/>
  <c r="BI30" i="15"/>
  <c r="BB30" i="15"/>
  <c r="AY30" i="15"/>
  <c r="FH29" i="15"/>
  <c r="FE29" i="15"/>
  <c r="EX29" i="15"/>
  <c r="EU29" i="15"/>
  <c r="EN29" i="15"/>
  <c r="EK29" i="15"/>
  <c r="ED29" i="15"/>
  <c r="EA29" i="15"/>
  <c r="DT29" i="15"/>
  <c r="DQ29" i="15"/>
  <c r="DJ29" i="15"/>
  <c r="DG29" i="15"/>
  <c r="CZ29" i="15"/>
  <c r="CW29" i="15"/>
  <c r="CP29" i="15"/>
  <c r="CM29" i="15"/>
  <c r="CF29" i="15"/>
  <c r="CC29" i="15"/>
  <c r="BV29" i="15"/>
  <c r="BS29" i="15"/>
  <c r="BL29" i="15"/>
  <c r="BI29" i="15"/>
  <c r="BB29" i="15"/>
  <c r="AY29" i="15"/>
  <c r="FH28" i="15"/>
  <c r="FE28" i="15"/>
  <c r="EX28" i="15"/>
  <c r="EU28" i="15"/>
  <c r="EN28" i="15"/>
  <c r="EK28" i="15"/>
  <c r="ED28" i="15"/>
  <c r="EA28" i="15"/>
  <c r="DT28" i="15"/>
  <c r="DQ28" i="15"/>
  <c r="DJ28" i="15"/>
  <c r="DG28" i="15"/>
  <c r="CZ28" i="15"/>
  <c r="CW28" i="15"/>
  <c r="CP28" i="15"/>
  <c r="CM28" i="15"/>
  <c r="CF28" i="15"/>
  <c r="CC28" i="15"/>
  <c r="BV28" i="15"/>
  <c r="BS28" i="15"/>
  <c r="BL28" i="15"/>
  <c r="BI28" i="15"/>
  <c r="BB28" i="15"/>
  <c r="AY28" i="15"/>
  <c r="FH27" i="15"/>
  <c r="FE27" i="15"/>
  <c r="EX27" i="15"/>
  <c r="EU27" i="15"/>
  <c r="EN27" i="15"/>
  <c r="EK27" i="15"/>
  <c r="ED27" i="15"/>
  <c r="EA27" i="15"/>
  <c r="DT27" i="15"/>
  <c r="DQ27" i="15"/>
  <c r="DJ27" i="15"/>
  <c r="DG27" i="15"/>
  <c r="CZ27" i="15"/>
  <c r="CW27" i="15"/>
  <c r="CP27" i="15"/>
  <c r="CM27" i="15"/>
  <c r="CF27" i="15"/>
  <c r="CC27" i="15"/>
  <c r="BV27" i="15"/>
  <c r="BS27" i="15"/>
  <c r="BL27" i="15"/>
  <c r="BI27" i="15"/>
  <c r="BB27" i="15"/>
  <c r="AY27" i="15"/>
  <c r="FH26" i="15"/>
  <c r="FE26" i="15"/>
  <c r="EX26" i="15"/>
  <c r="EU26" i="15"/>
  <c r="EN26" i="15"/>
  <c r="EK26" i="15"/>
  <c r="ED26" i="15"/>
  <c r="EA26" i="15"/>
  <c r="DT26" i="15"/>
  <c r="DQ26" i="15"/>
  <c r="DJ26" i="15"/>
  <c r="DG26" i="15"/>
  <c r="CZ26" i="15"/>
  <c r="CW26" i="15"/>
  <c r="CP26" i="15"/>
  <c r="CM26" i="15"/>
  <c r="CF26" i="15"/>
  <c r="CC26" i="15"/>
  <c r="BV26" i="15"/>
  <c r="BS26" i="15"/>
  <c r="BL26" i="15"/>
  <c r="BI26" i="15"/>
  <c r="BB26" i="15"/>
  <c r="AY26" i="15"/>
  <c r="FH25" i="15"/>
  <c r="FE25" i="15"/>
  <c r="EX25" i="15"/>
  <c r="EU25" i="15"/>
  <c r="EN25" i="15"/>
  <c r="EK25" i="15"/>
  <c r="ED25" i="15"/>
  <c r="EA25" i="15"/>
  <c r="DT25" i="15"/>
  <c r="DQ25" i="15"/>
  <c r="DJ25" i="15"/>
  <c r="DG25" i="15"/>
  <c r="CZ25" i="15"/>
  <c r="CW25" i="15"/>
  <c r="CP25" i="15"/>
  <c r="CM25" i="15"/>
  <c r="CF25" i="15"/>
  <c r="CC25" i="15"/>
  <c r="BV25" i="15"/>
  <c r="BS25" i="15"/>
  <c r="BL25" i="15"/>
  <c r="BI25" i="15"/>
  <c r="BB25" i="15"/>
  <c r="AY25" i="15"/>
  <c r="FH24" i="15"/>
  <c r="FE24" i="15"/>
  <c r="EX24" i="15"/>
  <c r="EU24" i="15"/>
  <c r="EN24" i="15"/>
  <c r="EK24" i="15"/>
  <c r="ED24" i="15"/>
  <c r="EA24" i="15"/>
  <c r="DT24" i="15"/>
  <c r="DQ24" i="15"/>
  <c r="DJ24" i="15"/>
  <c r="DG24" i="15"/>
  <c r="CZ24" i="15"/>
  <c r="CW24" i="15"/>
  <c r="CP24" i="15"/>
  <c r="CM24" i="15"/>
  <c r="CF24" i="15"/>
  <c r="CC24" i="15"/>
  <c r="BV24" i="15"/>
  <c r="BS24" i="15"/>
  <c r="BL24" i="15"/>
  <c r="BI24" i="15"/>
  <c r="BB24" i="15"/>
  <c r="AY24" i="15"/>
  <c r="FH23" i="15"/>
  <c r="FE23" i="15"/>
  <c r="EX23" i="15"/>
  <c r="EU23" i="15"/>
  <c r="EN23" i="15"/>
  <c r="EK23" i="15"/>
  <c r="ED23" i="15"/>
  <c r="EA23" i="15"/>
  <c r="DT23" i="15"/>
  <c r="DQ23" i="15"/>
  <c r="DJ23" i="15"/>
  <c r="DG23" i="15"/>
  <c r="CZ23" i="15"/>
  <c r="CW23" i="15"/>
  <c r="CP23" i="15"/>
  <c r="CM23" i="15"/>
  <c r="CF23" i="15"/>
  <c r="CC23" i="15"/>
  <c r="BV23" i="15"/>
  <c r="BS23" i="15"/>
  <c r="BL23" i="15"/>
  <c r="BI23" i="15"/>
  <c r="BB23" i="15"/>
  <c r="AY23" i="15"/>
  <c r="FH22" i="15"/>
  <c r="FE22" i="15"/>
  <c r="EX22" i="15"/>
  <c r="EU22" i="15"/>
  <c r="EN22" i="15"/>
  <c r="EK22" i="15"/>
  <c r="ED22" i="15"/>
  <c r="EA22" i="15"/>
  <c r="DT22" i="15"/>
  <c r="DQ22" i="15"/>
  <c r="DJ22" i="15"/>
  <c r="DG22" i="15"/>
  <c r="CZ22" i="15"/>
  <c r="CW22" i="15"/>
  <c r="CP22" i="15"/>
  <c r="CM22" i="15"/>
  <c r="CF22" i="15"/>
  <c r="CC22" i="15"/>
  <c r="BV22" i="15"/>
  <c r="BS22" i="15"/>
  <c r="BL22" i="15"/>
  <c r="BI22" i="15"/>
  <c r="BB22" i="15"/>
  <c r="AY22" i="15"/>
  <c r="FH21" i="15"/>
  <c r="FE21" i="15"/>
  <c r="EX21" i="15"/>
  <c r="EU21" i="15"/>
  <c r="EN21" i="15"/>
  <c r="EK21" i="15"/>
  <c r="ED21" i="15"/>
  <c r="EA21" i="15"/>
  <c r="DT21" i="15"/>
  <c r="DQ21" i="15"/>
  <c r="DJ21" i="15"/>
  <c r="DG21" i="15"/>
  <c r="CZ21" i="15"/>
  <c r="CW21" i="15"/>
  <c r="CP21" i="15"/>
  <c r="CM21" i="15"/>
  <c r="CF21" i="15"/>
  <c r="CC21" i="15"/>
  <c r="BV21" i="15"/>
  <c r="BS21" i="15"/>
  <c r="BL21" i="15"/>
  <c r="BI21" i="15"/>
  <c r="BB21" i="15"/>
  <c r="AY21" i="15"/>
  <c r="FH20" i="15"/>
  <c r="FE20" i="15"/>
  <c r="EX20" i="15"/>
  <c r="EU20" i="15"/>
  <c r="EN20" i="15"/>
  <c r="EK20" i="15"/>
  <c r="ED20" i="15"/>
  <c r="EA20" i="15"/>
  <c r="DT20" i="15"/>
  <c r="DQ20" i="15"/>
  <c r="DJ20" i="15"/>
  <c r="DG20" i="15"/>
  <c r="CZ20" i="15"/>
  <c r="CW20" i="15"/>
  <c r="CP20" i="15"/>
  <c r="CM20" i="15"/>
  <c r="CF20" i="15"/>
  <c r="CC20" i="15"/>
  <c r="BV20" i="15"/>
  <c r="BS20" i="15"/>
  <c r="BL20" i="15"/>
  <c r="BI20" i="15"/>
  <c r="BB20" i="15"/>
  <c r="AY20" i="15"/>
  <c r="FH19" i="15"/>
  <c r="FE19" i="15"/>
  <c r="EX19" i="15"/>
  <c r="EU19" i="15"/>
  <c r="EN19" i="15"/>
  <c r="EK19" i="15"/>
  <c r="ED19" i="15"/>
  <c r="EA19" i="15"/>
  <c r="DT19" i="15"/>
  <c r="DQ19" i="15"/>
  <c r="DJ19" i="15"/>
  <c r="DG19" i="15"/>
  <c r="CZ19" i="15"/>
  <c r="CW19" i="15"/>
  <c r="CP19" i="15"/>
  <c r="CM19" i="15"/>
  <c r="CF19" i="15"/>
  <c r="CC19" i="15"/>
  <c r="BV19" i="15"/>
  <c r="BS19" i="15"/>
  <c r="BL19" i="15"/>
  <c r="BI19" i="15"/>
  <c r="BB19" i="15"/>
  <c r="AY19" i="15"/>
  <c r="FH18" i="15"/>
  <c r="FE18" i="15"/>
  <c r="EX18" i="15"/>
  <c r="EU18" i="15"/>
  <c r="EN18" i="15"/>
  <c r="EK18" i="15"/>
  <c r="ED18" i="15"/>
  <c r="EA18" i="15"/>
  <c r="DT18" i="15"/>
  <c r="DQ18" i="15"/>
  <c r="DJ18" i="15"/>
  <c r="DG18" i="15"/>
  <c r="CZ18" i="15"/>
  <c r="CW18" i="15"/>
  <c r="CP18" i="15"/>
  <c r="CM18" i="15"/>
  <c r="CF18" i="15"/>
  <c r="CC18" i="15"/>
  <c r="BV18" i="15"/>
  <c r="BS18" i="15"/>
  <c r="BL18" i="15"/>
  <c r="BI18" i="15"/>
  <c r="BB18" i="15"/>
  <c r="AY18" i="15"/>
  <c r="FH17" i="15"/>
  <c r="FE17" i="15"/>
  <c r="EX17" i="15"/>
  <c r="EU17" i="15"/>
  <c r="EN17" i="15"/>
  <c r="EK17" i="15"/>
  <c r="ED17" i="15"/>
  <c r="EA17" i="15"/>
  <c r="DT17" i="15"/>
  <c r="DQ17" i="15"/>
  <c r="DJ17" i="15"/>
  <c r="DG17" i="15"/>
  <c r="CZ17" i="15"/>
  <c r="CW17" i="15"/>
  <c r="CP17" i="15"/>
  <c r="CM17" i="15"/>
  <c r="CF17" i="15"/>
  <c r="CC17" i="15"/>
  <c r="BV17" i="15"/>
  <c r="BS17" i="15"/>
  <c r="BL17" i="15"/>
  <c r="BI17" i="15"/>
  <c r="BB17" i="15"/>
  <c r="AY17" i="15"/>
  <c r="FH16" i="15"/>
  <c r="FE16" i="15"/>
  <c r="EX16" i="15"/>
  <c r="EU16" i="15"/>
  <c r="EN16" i="15"/>
  <c r="EK16" i="15"/>
  <c r="ED16" i="15"/>
  <c r="EA16" i="15"/>
  <c r="DT16" i="15"/>
  <c r="DQ16" i="15"/>
  <c r="DJ16" i="15"/>
  <c r="DG16" i="15"/>
  <c r="CZ16" i="15"/>
  <c r="CW16" i="15"/>
  <c r="CP16" i="15"/>
  <c r="CM16" i="15"/>
  <c r="CF16" i="15"/>
  <c r="CC16" i="15"/>
  <c r="BV16" i="15"/>
  <c r="BS16" i="15"/>
  <c r="BL16" i="15"/>
  <c r="BI16" i="15"/>
  <c r="BB16" i="15"/>
  <c r="AY16" i="15"/>
  <c r="FH15" i="15"/>
  <c r="FE15" i="15"/>
  <c r="EX15" i="15"/>
  <c r="EU15" i="15"/>
  <c r="EN15" i="15"/>
  <c r="EK15" i="15"/>
  <c r="ED15" i="15"/>
  <c r="EA15" i="15"/>
  <c r="DT15" i="15"/>
  <c r="DQ15" i="15"/>
  <c r="DJ15" i="15"/>
  <c r="DG15" i="15"/>
  <c r="CZ15" i="15"/>
  <c r="CW15" i="15"/>
  <c r="CP15" i="15"/>
  <c r="CM15" i="15"/>
  <c r="CF15" i="15"/>
  <c r="CC15" i="15"/>
  <c r="BV15" i="15"/>
  <c r="BS15" i="15"/>
  <c r="BL15" i="15"/>
  <c r="BI15" i="15"/>
  <c r="BB15" i="15"/>
  <c r="AY15" i="15"/>
  <c r="FH14" i="15"/>
  <c r="FE14" i="15"/>
  <c r="EX14" i="15"/>
  <c r="EU14" i="15"/>
  <c r="EN14" i="15"/>
  <c r="EK14" i="15"/>
  <c r="ED14" i="15"/>
  <c r="EA14" i="15"/>
  <c r="DT14" i="15"/>
  <c r="DQ14" i="15"/>
  <c r="DJ14" i="15"/>
  <c r="DG14" i="15"/>
  <c r="CZ14" i="15"/>
  <c r="CW14" i="15"/>
  <c r="CP14" i="15"/>
  <c r="CM14" i="15"/>
  <c r="CF14" i="15"/>
  <c r="CC14" i="15"/>
  <c r="BV14" i="15"/>
  <c r="BS14" i="15"/>
  <c r="BL14" i="15"/>
  <c r="BI14" i="15"/>
  <c r="BB14" i="15"/>
  <c r="AY14" i="15"/>
  <c r="FH13" i="15"/>
  <c r="FE13" i="15"/>
  <c r="EX13" i="15"/>
  <c r="EU13" i="15"/>
  <c r="EN13" i="15"/>
  <c r="EK13" i="15"/>
  <c r="ED13" i="15"/>
  <c r="EA13" i="15"/>
  <c r="DT13" i="15"/>
  <c r="DQ13" i="15"/>
  <c r="DJ13" i="15"/>
  <c r="DG13" i="15"/>
  <c r="CZ13" i="15"/>
  <c r="CW13" i="15"/>
  <c r="CP13" i="15"/>
  <c r="CM13" i="15"/>
  <c r="CF13" i="15"/>
  <c r="CC13" i="15"/>
  <c r="BV13" i="15"/>
  <c r="BS13" i="15"/>
  <c r="BL13" i="15"/>
  <c r="BI13" i="15"/>
  <c r="BB13" i="15"/>
  <c r="AY13" i="15"/>
  <c r="FH12" i="15"/>
  <c r="FE12" i="15"/>
  <c r="EX12" i="15"/>
  <c r="EU12" i="15"/>
  <c r="EN12" i="15"/>
  <c r="EK12" i="15"/>
  <c r="ED12" i="15"/>
  <c r="EA12" i="15"/>
  <c r="DT12" i="15"/>
  <c r="DQ12" i="15"/>
  <c r="DJ12" i="15"/>
  <c r="DG12" i="15"/>
  <c r="CZ12" i="15"/>
  <c r="CW12" i="15"/>
  <c r="CP12" i="15"/>
  <c r="CM12" i="15"/>
  <c r="CF12" i="15"/>
  <c r="CC12" i="15"/>
  <c r="BV12" i="15"/>
  <c r="BS12" i="15"/>
  <c r="BL12" i="15"/>
  <c r="BI12" i="15"/>
  <c r="BB12" i="15"/>
  <c r="AY12" i="15"/>
  <c r="FH11" i="15"/>
  <c r="FE11" i="15"/>
  <c r="EX11" i="15"/>
  <c r="EU11" i="15"/>
  <c r="EN11" i="15"/>
  <c r="EK11" i="15"/>
  <c r="ED11" i="15"/>
  <c r="EA11" i="15"/>
  <c r="DT11" i="15"/>
  <c r="DQ11" i="15"/>
  <c r="DJ11" i="15"/>
  <c r="DG11" i="15"/>
  <c r="CZ11" i="15"/>
  <c r="CW11" i="15"/>
  <c r="CP11" i="15"/>
  <c r="CM11" i="15"/>
  <c r="CF11" i="15"/>
  <c r="CC11" i="15"/>
  <c r="BV11" i="15"/>
  <c r="BS11" i="15"/>
  <c r="BL11" i="15"/>
  <c r="BI11" i="15"/>
  <c r="AY11" i="15"/>
  <c r="FH10" i="15"/>
  <c r="FE10" i="15"/>
  <c r="EX10" i="15"/>
  <c r="EU10" i="15"/>
  <c r="EN10" i="15"/>
  <c r="EK10" i="15"/>
  <c r="ED10" i="15"/>
  <c r="EA10" i="15"/>
  <c r="DT10" i="15"/>
  <c r="DQ10" i="15"/>
  <c r="DJ10" i="15"/>
  <c r="DG10" i="15"/>
  <c r="CZ10" i="15"/>
  <c r="CW10" i="15"/>
  <c r="CP10" i="15"/>
  <c r="CM10" i="15"/>
  <c r="CF10" i="15"/>
  <c r="CC10" i="15"/>
  <c r="BV10" i="15"/>
  <c r="BS10" i="15"/>
  <c r="BL10" i="15"/>
  <c r="BI10" i="15"/>
  <c r="BB10" i="15"/>
  <c r="AY10" i="15"/>
  <c r="FH31" i="14"/>
  <c r="FE31" i="14"/>
  <c r="EX31" i="14"/>
  <c r="EU31" i="14"/>
  <c r="EN31" i="14"/>
  <c r="EK31" i="14"/>
  <c r="ED31" i="14"/>
  <c r="EA31" i="14"/>
  <c r="DT31" i="14"/>
  <c r="DQ31" i="14"/>
  <c r="DJ31" i="14"/>
  <c r="DG31" i="14"/>
  <c r="CZ31" i="14"/>
  <c r="CW31" i="14"/>
  <c r="CP31" i="14"/>
  <c r="CM31" i="14"/>
  <c r="CF31" i="14"/>
  <c r="CC31" i="14"/>
  <c r="BV31" i="14"/>
  <c r="BS31" i="14"/>
  <c r="BL31" i="14"/>
  <c r="BI31" i="14"/>
  <c r="BB31" i="14"/>
  <c r="AY31" i="14"/>
  <c r="FH30" i="14"/>
  <c r="FE30" i="14"/>
  <c r="EX30" i="14"/>
  <c r="EU30" i="14"/>
  <c r="EN30" i="14"/>
  <c r="EK30" i="14"/>
  <c r="ED30" i="14"/>
  <c r="EA30" i="14"/>
  <c r="DT30" i="14"/>
  <c r="DQ30" i="14"/>
  <c r="DJ30" i="14"/>
  <c r="DG30" i="14"/>
  <c r="CZ30" i="14"/>
  <c r="CW30" i="14"/>
  <c r="CP30" i="14"/>
  <c r="CM30" i="14"/>
  <c r="CF30" i="14"/>
  <c r="CC30" i="14"/>
  <c r="BV30" i="14"/>
  <c r="BS30" i="14"/>
  <c r="BL30" i="14"/>
  <c r="BI30" i="14"/>
  <c r="BB30" i="14"/>
  <c r="AY30" i="14"/>
  <c r="FH29" i="14"/>
  <c r="FE29" i="14"/>
  <c r="EX29" i="14"/>
  <c r="EU29" i="14"/>
  <c r="EN29" i="14"/>
  <c r="EK29" i="14"/>
  <c r="ED29" i="14"/>
  <c r="EA29" i="14"/>
  <c r="DT29" i="14"/>
  <c r="DQ29" i="14"/>
  <c r="DJ29" i="14"/>
  <c r="DG29" i="14"/>
  <c r="CZ29" i="14"/>
  <c r="CW29" i="14"/>
  <c r="CP29" i="14"/>
  <c r="CM29" i="14"/>
  <c r="CF29" i="14"/>
  <c r="CC29" i="14"/>
  <c r="BV29" i="14"/>
  <c r="BS29" i="14"/>
  <c r="BL29" i="14"/>
  <c r="BI29" i="14"/>
  <c r="BB29" i="14"/>
  <c r="AY29" i="14"/>
  <c r="FH28" i="14"/>
  <c r="FE28" i="14"/>
  <c r="EX28" i="14"/>
  <c r="EU28" i="14"/>
  <c r="EN28" i="14"/>
  <c r="EK28" i="14"/>
  <c r="ED28" i="14"/>
  <c r="EA28" i="14"/>
  <c r="DT28" i="14"/>
  <c r="DQ28" i="14"/>
  <c r="DJ28" i="14"/>
  <c r="DG28" i="14"/>
  <c r="CZ28" i="14"/>
  <c r="CW28" i="14"/>
  <c r="CP28" i="14"/>
  <c r="CM28" i="14"/>
  <c r="CF28" i="14"/>
  <c r="CC28" i="14"/>
  <c r="BV28" i="14"/>
  <c r="BS28" i="14"/>
  <c r="BL28" i="14"/>
  <c r="BI28" i="14"/>
  <c r="BB28" i="14"/>
  <c r="AY28" i="14"/>
  <c r="FH27" i="14"/>
  <c r="FE27" i="14"/>
  <c r="EX27" i="14"/>
  <c r="EU27" i="14"/>
  <c r="EN27" i="14"/>
  <c r="EK27" i="14"/>
  <c r="ED27" i="14"/>
  <c r="EA27" i="14"/>
  <c r="DT27" i="14"/>
  <c r="DQ27" i="14"/>
  <c r="DJ27" i="14"/>
  <c r="DG27" i="14"/>
  <c r="CZ27" i="14"/>
  <c r="CW27" i="14"/>
  <c r="CP27" i="14"/>
  <c r="CM27" i="14"/>
  <c r="CF27" i="14"/>
  <c r="CC27" i="14"/>
  <c r="BV27" i="14"/>
  <c r="BS27" i="14"/>
  <c r="BL27" i="14"/>
  <c r="BI27" i="14"/>
  <c r="BB27" i="14"/>
  <c r="AY27" i="14"/>
  <c r="FH26" i="14"/>
  <c r="FE26" i="14"/>
  <c r="EX26" i="14"/>
  <c r="EU26" i="14"/>
  <c r="EN26" i="14"/>
  <c r="EK26" i="14"/>
  <c r="ED26" i="14"/>
  <c r="EA26" i="14"/>
  <c r="DT26" i="14"/>
  <c r="DQ26" i="14"/>
  <c r="DJ26" i="14"/>
  <c r="DG26" i="14"/>
  <c r="CZ26" i="14"/>
  <c r="CW26" i="14"/>
  <c r="CP26" i="14"/>
  <c r="CM26" i="14"/>
  <c r="CF26" i="14"/>
  <c r="CC26" i="14"/>
  <c r="BV26" i="14"/>
  <c r="BS26" i="14"/>
  <c r="BL26" i="14"/>
  <c r="BI26" i="14"/>
  <c r="BB26" i="14"/>
  <c r="AY26" i="14"/>
  <c r="FH25" i="14"/>
  <c r="FE25" i="14"/>
  <c r="EX25" i="14"/>
  <c r="EU25" i="14"/>
  <c r="EN25" i="14"/>
  <c r="EK25" i="14"/>
  <c r="ED25" i="14"/>
  <c r="EA25" i="14"/>
  <c r="DT25" i="14"/>
  <c r="DQ25" i="14"/>
  <c r="DJ25" i="14"/>
  <c r="DG25" i="14"/>
  <c r="CZ25" i="14"/>
  <c r="CW25" i="14"/>
  <c r="CP25" i="14"/>
  <c r="CM25" i="14"/>
  <c r="CF25" i="14"/>
  <c r="CC25" i="14"/>
  <c r="BV25" i="14"/>
  <c r="BS25" i="14"/>
  <c r="BL25" i="14"/>
  <c r="BB25" i="14"/>
  <c r="AY25" i="14"/>
  <c r="FH24" i="14"/>
  <c r="FE24" i="14"/>
  <c r="EX24" i="14"/>
  <c r="EU24" i="14"/>
  <c r="EN24" i="14"/>
  <c r="EK24" i="14"/>
  <c r="ED24" i="14"/>
  <c r="EA24" i="14"/>
  <c r="DT24" i="14"/>
  <c r="DQ24" i="14"/>
  <c r="DJ24" i="14"/>
  <c r="DG24" i="14"/>
  <c r="CW24" i="14"/>
  <c r="CP24" i="14"/>
  <c r="CM24" i="14"/>
  <c r="CF24" i="14"/>
  <c r="BS24" i="14"/>
  <c r="BL24" i="14"/>
  <c r="BI24" i="14"/>
  <c r="BB24" i="14"/>
  <c r="AY24" i="14"/>
  <c r="FH23" i="14"/>
  <c r="FE23" i="14"/>
  <c r="EX23" i="14"/>
  <c r="EU23" i="14"/>
  <c r="EN23" i="14"/>
  <c r="EK23" i="14"/>
  <c r="ED23" i="14"/>
  <c r="EA23" i="14"/>
  <c r="DT23" i="14"/>
  <c r="DQ23" i="14"/>
  <c r="DJ23" i="14"/>
  <c r="DG23" i="14"/>
  <c r="CZ23" i="14"/>
  <c r="CW23" i="14"/>
  <c r="CP23" i="14"/>
  <c r="CF23" i="14"/>
  <c r="BV23" i="14"/>
  <c r="BS23" i="14"/>
  <c r="BL23" i="14"/>
  <c r="BI23" i="14"/>
  <c r="BB23" i="14"/>
  <c r="AY23" i="14"/>
  <c r="FH22" i="14"/>
  <c r="FE22" i="14"/>
  <c r="EX22" i="14"/>
  <c r="EU22" i="14"/>
  <c r="EN22" i="14"/>
  <c r="EK22" i="14"/>
  <c r="ED22" i="14"/>
  <c r="EA22" i="14"/>
  <c r="DT22" i="14"/>
  <c r="DQ22" i="14"/>
  <c r="DJ22" i="14"/>
  <c r="DG22" i="14"/>
  <c r="CZ22" i="14"/>
  <c r="CW22" i="14"/>
  <c r="CP22" i="14"/>
  <c r="CM22" i="14"/>
  <c r="CF22" i="14"/>
  <c r="CC22" i="14"/>
  <c r="BS22" i="14"/>
  <c r="BL22" i="14"/>
  <c r="BI22" i="14"/>
  <c r="BB22" i="14"/>
  <c r="FH21" i="14"/>
  <c r="FE21" i="14"/>
  <c r="EX21" i="14"/>
  <c r="EU21" i="14"/>
  <c r="EN21" i="14"/>
  <c r="EK21" i="14"/>
  <c r="ED21" i="14"/>
  <c r="EA21" i="14"/>
  <c r="DT21" i="14"/>
  <c r="DQ21" i="14"/>
  <c r="CZ21" i="14"/>
  <c r="CW21" i="14"/>
  <c r="CM21" i="14"/>
  <c r="CF21" i="14"/>
  <c r="CC21" i="14"/>
  <c r="BV21" i="14"/>
  <c r="BS21" i="14"/>
  <c r="BB21" i="14"/>
  <c r="AY21" i="14"/>
  <c r="FH20" i="14"/>
  <c r="FE20" i="14"/>
  <c r="EX20" i="14"/>
  <c r="EU20" i="14"/>
  <c r="EN20" i="14"/>
  <c r="EK20" i="14"/>
  <c r="ED20" i="14"/>
  <c r="EA20" i="14"/>
  <c r="DT20" i="14"/>
  <c r="DQ20" i="14"/>
  <c r="DJ20" i="14"/>
  <c r="DG20" i="14"/>
  <c r="CZ20" i="14"/>
  <c r="CW20" i="14"/>
  <c r="CP20" i="14"/>
  <c r="CM20" i="14"/>
  <c r="CF20" i="14"/>
  <c r="CC20" i="14"/>
  <c r="BS20" i="14"/>
  <c r="BL20" i="14"/>
  <c r="BI20" i="14"/>
  <c r="BB20" i="14"/>
  <c r="AY20" i="14"/>
  <c r="FH19" i="14"/>
  <c r="FE19" i="14"/>
  <c r="EX19" i="14"/>
  <c r="EU19" i="14"/>
  <c r="EN19" i="14"/>
  <c r="EK19" i="14"/>
  <c r="ED19" i="14"/>
  <c r="EA19" i="14"/>
  <c r="DT19" i="14"/>
  <c r="DQ19" i="14"/>
  <c r="DJ19" i="14"/>
  <c r="DG19" i="14"/>
  <c r="CF19" i="14"/>
  <c r="CC19" i="14"/>
  <c r="BV19" i="14"/>
  <c r="BS19" i="14"/>
  <c r="BL19" i="14"/>
  <c r="BI19" i="14"/>
  <c r="BB19" i="14"/>
  <c r="AY19" i="14"/>
  <c r="FH18" i="14"/>
  <c r="FE18" i="14"/>
  <c r="EX18" i="14"/>
  <c r="EU18" i="14"/>
  <c r="EN18" i="14"/>
  <c r="EK18" i="14"/>
  <c r="ED18" i="14"/>
  <c r="EA18" i="14"/>
  <c r="DT18" i="14"/>
  <c r="DQ18" i="14"/>
  <c r="DJ18" i="14"/>
  <c r="DG18" i="14"/>
  <c r="CZ18" i="14"/>
  <c r="CW18" i="14"/>
  <c r="CP18" i="14"/>
  <c r="CM18" i="14"/>
  <c r="CF18" i="14"/>
  <c r="CC18" i="14"/>
  <c r="BV18" i="14"/>
  <c r="BS18" i="14"/>
  <c r="BL18" i="14"/>
  <c r="BI18" i="14"/>
  <c r="BB18" i="14"/>
  <c r="AY18" i="14"/>
  <c r="FH17" i="14"/>
  <c r="FE17" i="14"/>
  <c r="EX17" i="14"/>
  <c r="EU17" i="14"/>
  <c r="EN17" i="14"/>
  <c r="EK17" i="14"/>
  <c r="ED17" i="14"/>
  <c r="EA17" i="14"/>
  <c r="DT17" i="14"/>
  <c r="DQ17" i="14"/>
  <c r="DJ17" i="14"/>
  <c r="DG17" i="14"/>
  <c r="CZ17" i="14"/>
  <c r="CW17" i="14"/>
  <c r="CP17" i="14"/>
  <c r="CM17" i="14"/>
  <c r="CF17" i="14"/>
  <c r="CC17" i="14"/>
  <c r="BV17" i="14"/>
  <c r="BS17" i="14"/>
  <c r="BL17" i="14"/>
  <c r="AY17" i="14"/>
  <c r="FH16" i="14"/>
  <c r="FE16" i="14"/>
  <c r="EX16" i="14"/>
  <c r="EU16" i="14"/>
  <c r="EN16" i="14"/>
  <c r="EK16" i="14"/>
  <c r="ED16" i="14"/>
  <c r="EA16" i="14"/>
  <c r="DT16" i="14"/>
  <c r="DQ16" i="14"/>
  <c r="DJ16" i="14"/>
  <c r="DG16" i="14"/>
  <c r="CZ16" i="14"/>
  <c r="CW16" i="14"/>
  <c r="CP16" i="14"/>
  <c r="CM16" i="14"/>
  <c r="CF16" i="14"/>
  <c r="CC16" i="14"/>
  <c r="BV16" i="14"/>
  <c r="BS16" i="14"/>
  <c r="BL16" i="14"/>
  <c r="BB16" i="14"/>
  <c r="AY16" i="14"/>
  <c r="FH15" i="14"/>
  <c r="FE15" i="14"/>
  <c r="EX15" i="14"/>
  <c r="EU15" i="14"/>
  <c r="EN15" i="14"/>
  <c r="EK15" i="14"/>
  <c r="ED15" i="14"/>
  <c r="EA15" i="14"/>
  <c r="DT15" i="14"/>
  <c r="DQ15" i="14"/>
  <c r="DJ15" i="14"/>
  <c r="DG15" i="14"/>
  <c r="CW15" i="14"/>
  <c r="CP15" i="14"/>
  <c r="CF15" i="14"/>
  <c r="CC15" i="14"/>
  <c r="BV15" i="14"/>
  <c r="BS15" i="14"/>
  <c r="BL15" i="14"/>
  <c r="BI15" i="14"/>
  <c r="AY15" i="14"/>
  <c r="FH14" i="14"/>
  <c r="FE14" i="14"/>
  <c r="EX14" i="14"/>
  <c r="EU14" i="14"/>
  <c r="EN14" i="14"/>
  <c r="EK14" i="14"/>
  <c r="ED14" i="14"/>
  <c r="EA14" i="14"/>
  <c r="DT14" i="14"/>
  <c r="DQ14" i="14"/>
  <c r="DJ14" i="14"/>
  <c r="DG14" i="14"/>
  <c r="L14" i="14" s="1"/>
  <c r="AY14" i="14"/>
  <c r="FH13" i="14"/>
  <c r="FE13" i="14"/>
  <c r="EX13" i="14"/>
  <c r="EU13" i="14"/>
  <c r="EN13" i="14"/>
  <c r="EK13" i="14"/>
  <c r="ED13" i="14"/>
  <c r="EA13" i="14"/>
  <c r="DT13" i="14"/>
  <c r="DQ13" i="14"/>
  <c r="DJ13" i="14"/>
  <c r="DG13" i="14"/>
  <c r="CZ13" i="14"/>
  <c r="CW13" i="14"/>
  <c r="CP13" i="14"/>
  <c r="CM13" i="14"/>
  <c r="CF13" i="14"/>
  <c r="CC13" i="14"/>
  <c r="BV13" i="14"/>
  <c r="BS13" i="14"/>
  <c r="BB13" i="14"/>
  <c r="AY13" i="14"/>
  <c r="FH12" i="14"/>
  <c r="FE12" i="14"/>
  <c r="EX12" i="14"/>
  <c r="EU12" i="14"/>
  <c r="EN12" i="14"/>
  <c r="EK12" i="14"/>
  <c r="ED12" i="14"/>
  <c r="EA12" i="14"/>
  <c r="DT12" i="14"/>
  <c r="DQ12" i="14"/>
  <c r="DJ12" i="14"/>
  <c r="DG12" i="14"/>
  <c r="CZ12" i="14"/>
  <c r="CW12" i="14"/>
  <c r="CP12" i="14"/>
  <c r="CM12" i="14"/>
  <c r="CF12" i="14"/>
  <c r="CC12" i="14"/>
  <c r="BV12" i="14"/>
  <c r="BS12" i="14"/>
  <c r="BL12" i="14"/>
  <c r="BI12" i="14"/>
  <c r="AY12" i="14"/>
  <c r="FH11" i="14"/>
  <c r="FE11" i="14"/>
  <c r="EX11" i="14"/>
  <c r="EU11" i="14"/>
  <c r="EN11" i="14"/>
  <c r="EK11" i="14"/>
  <c r="ED11" i="14"/>
  <c r="EA11" i="14"/>
  <c r="DT11" i="14"/>
  <c r="DQ11" i="14"/>
  <c r="DJ11" i="14"/>
  <c r="DG11" i="14"/>
  <c r="CZ11" i="14"/>
  <c r="CP11" i="14"/>
  <c r="CM11" i="14"/>
  <c r="BV11" i="14"/>
  <c r="BS11" i="14"/>
  <c r="BL11" i="14"/>
  <c r="BI11" i="14"/>
  <c r="FH10" i="14"/>
  <c r="FE10" i="14"/>
  <c r="EX10" i="14"/>
  <c r="EU10" i="14"/>
  <c r="EN10" i="14"/>
  <c r="EK10" i="14"/>
  <c r="ED10" i="14"/>
  <c r="EA10" i="14"/>
  <c r="DT10" i="14"/>
  <c r="DQ10" i="14"/>
  <c r="DJ10" i="14"/>
  <c r="DG10" i="14"/>
  <c r="CZ10" i="14"/>
  <c r="CW10" i="14"/>
  <c r="CP10" i="14"/>
  <c r="CM10" i="14"/>
  <c r="CF10" i="14"/>
  <c r="CC10" i="14"/>
  <c r="BV10" i="14"/>
  <c r="BS10" i="14"/>
  <c r="BL10" i="14"/>
  <c r="BI10" i="14"/>
  <c r="BB10" i="14"/>
  <c r="AY10" i="14"/>
  <c r="FH31" i="13"/>
  <c r="FE31" i="13"/>
  <c r="EX31" i="13"/>
  <c r="EU31" i="13"/>
  <c r="EN31" i="13"/>
  <c r="EK31" i="13"/>
  <c r="ED31" i="13"/>
  <c r="EA31" i="13"/>
  <c r="DT31" i="13"/>
  <c r="DQ31" i="13"/>
  <c r="DJ31" i="13"/>
  <c r="DG31" i="13"/>
  <c r="CZ31" i="13"/>
  <c r="CW31" i="13"/>
  <c r="CP31" i="13"/>
  <c r="CM31" i="13"/>
  <c r="CF31" i="13"/>
  <c r="CC31" i="13"/>
  <c r="BV31" i="13"/>
  <c r="BS31" i="13"/>
  <c r="BL31" i="13"/>
  <c r="BI31" i="13"/>
  <c r="BB31" i="13"/>
  <c r="AY31" i="13"/>
  <c r="FH30" i="13"/>
  <c r="FE30" i="13"/>
  <c r="EX30" i="13"/>
  <c r="EU30" i="13"/>
  <c r="EN30" i="13"/>
  <c r="EK30" i="13"/>
  <c r="ED30" i="13"/>
  <c r="EA30" i="13"/>
  <c r="DT30" i="13"/>
  <c r="DQ30" i="13"/>
  <c r="DJ30" i="13"/>
  <c r="DG30" i="13"/>
  <c r="CZ30" i="13"/>
  <c r="CW30" i="13"/>
  <c r="CP30" i="13"/>
  <c r="CM30" i="13"/>
  <c r="CF30" i="13"/>
  <c r="CC30" i="13"/>
  <c r="BV30" i="13"/>
  <c r="BS30" i="13"/>
  <c r="BL30" i="13"/>
  <c r="BI30" i="13"/>
  <c r="BB30" i="13"/>
  <c r="AY30" i="13"/>
  <c r="FH29" i="13"/>
  <c r="FE29" i="13"/>
  <c r="EX29" i="13"/>
  <c r="EU29" i="13"/>
  <c r="EN29" i="13"/>
  <c r="EK29" i="13"/>
  <c r="ED29" i="13"/>
  <c r="EA29" i="13"/>
  <c r="DT29" i="13"/>
  <c r="DQ29" i="13"/>
  <c r="DJ29" i="13"/>
  <c r="DG29" i="13"/>
  <c r="CZ29" i="13"/>
  <c r="CW29" i="13"/>
  <c r="CP29" i="13"/>
  <c r="CM29" i="13"/>
  <c r="CF29" i="13"/>
  <c r="CC29" i="13"/>
  <c r="BV29" i="13"/>
  <c r="BS29" i="13"/>
  <c r="BL29" i="13"/>
  <c r="BI29" i="13"/>
  <c r="BB29" i="13"/>
  <c r="AY29" i="13"/>
  <c r="FH28" i="13"/>
  <c r="FE28" i="13"/>
  <c r="EX28" i="13"/>
  <c r="EU28" i="13"/>
  <c r="EN28" i="13"/>
  <c r="EK28" i="13"/>
  <c r="ED28" i="13"/>
  <c r="EA28" i="13"/>
  <c r="DQ28" i="13"/>
  <c r="DJ28" i="13"/>
  <c r="DG28" i="13"/>
  <c r="CZ28" i="13"/>
  <c r="CW28" i="13"/>
  <c r="CP28" i="13"/>
  <c r="CM28" i="13"/>
  <c r="CF28" i="13"/>
  <c r="CC28" i="13"/>
  <c r="BV28" i="13"/>
  <c r="BS28" i="13"/>
  <c r="BL28" i="13"/>
  <c r="BI28" i="13"/>
  <c r="BB28" i="13"/>
  <c r="AY28" i="13"/>
  <c r="FH27" i="13"/>
  <c r="FE27" i="13"/>
  <c r="EX27" i="13"/>
  <c r="EU27" i="13"/>
  <c r="EN27" i="13"/>
  <c r="EK27" i="13"/>
  <c r="ED27" i="13"/>
  <c r="EA27" i="13"/>
  <c r="DQ27" i="13"/>
  <c r="DJ27" i="13"/>
  <c r="DG27" i="13"/>
  <c r="CZ27" i="13"/>
  <c r="CW27" i="13"/>
  <c r="CP27" i="13"/>
  <c r="CM27" i="13"/>
  <c r="CF27" i="13"/>
  <c r="CC27" i="13"/>
  <c r="BV27" i="13"/>
  <c r="BS27" i="13"/>
  <c r="BL27" i="13"/>
  <c r="BI27" i="13"/>
  <c r="BB27" i="13"/>
  <c r="AY27" i="13"/>
  <c r="FH26" i="13"/>
  <c r="FE26" i="13"/>
  <c r="EX26" i="13"/>
  <c r="EU26" i="13"/>
  <c r="EN26" i="13"/>
  <c r="EK26" i="13"/>
  <c r="ED26" i="13"/>
  <c r="EA26" i="13"/>
  <c r="DQ26" i="13"/>
  <c r="DJ26" i="13"/>
  <c r="DG26" i="13"/>
  <c r="CZ26" i="13"/>
  <c r="CW26" i="13"/>
  <c r="CP26" i="13"/>
  <c r="CM26" i="13"/>
  <c r="CF26" i="13"/>
  <c r="CC26" i="13"/>
  <c r="BV26" i="13"/>
  <c r="BS26" i="13"/>
  <c r="BL26" i="13"/>
  <c r="BI26" i="13"/>
  <c r="BB26" i="13"/>
  <c r="AY26" i="13"/>
  <c r="FH25" i="13"/>
  <c r="FE25" i="13"/>
  <c r="EX25" i="13"/>
  <c r="EU25" i="13"/>
  <c r="EN25" i="13"/>
  <c r="EK25" i="13"/>
  <c r="ED25" i="13"/>
  <c r="EA25" i="13"/>
  <c r="DQ25" i="13"/>
  <c r="DJ25" i="13"/>
  <c r="DG25" i="13"/>
  <c r="CZ25" i="13"/>
  <c r="CW25" i="13"/>
  <c r="CP25" i="13"/>
  <c r="CM25" i="13"/>
  <c r="CF25" i="13"/>
  <c r="CC25" i="13"/>
  <c r="BV25" i="13"/>
  <c r="BS25" i="13"/>
  <c r="BL25" i="13"/>
  <c r="BI25" i="13"/>
  <c r="BB25" i="13"/>
  <c r="AY25" i="13"/>
  <c r="FH24" i="13"/>
  <c r="FE24" i="13"/>
  <c r="EX24" i="13"/>
  <c r="EU24" i="13"/>
  <c r="EN24" i="13"/>
  <c r="EK24" i="13"/>
  <c r="ED24" i="13"/>
  <c r="EA24" i="13"/>
  <c r="DQ24" i="13"/>
  <c r="DJ24" i="13"/>
  <c r="DG24" i="13"/>
  <c r="CZ24" i="13"/>
  <c r="CW24" i="13"/>
  <c r="CP24" i="13"/>
  <c r="CM24" i="13"/>
  <c r="CF24" i="13"/>
  <c r="CC24" i="13"/>
  <c r="BV24" i="13"/>
  <c r="BS24" i="13"/>
  <c r="BL24" i="13"/>
  <c r="BI24" i="13"/>
  <c r="BB24" i="13"/>
  <c r="AY24" i="13"/>
  <c r="FH23" i="13"/>
  <c r="FE23" i="13"/>
  <c r="EX23" i="13"/>
  <c r="EU23" i="13"/>
  <c r="EN23" i="13"/>
  <c r="EK23" i="13"/>
  <c r="ED23" i="13"/>
  <c r="EA23" i="13"/>
  <c r="DQ23" i="13"/>
  <c r="DJ23" i="13"/>
  <c r="DG23" i="13"/>
  <c r="CZ23" i="13"/>
  <c r="CW23" i="13"/>
  <c r="CP23" i="13"/>
  <c r="CM23" i="13"/>
  <c r="CF23" i="13"/>
  <c r="CC23" i="13"/>
  <c r="BV23" i="13"/>
  <c r="BS23" i="13"/>
  <c r="BL23" i="13"/>
  <c r="BI23" i="13"/>
  <c r="BB23" i="13"/>
  <c r="AY23" i="13"/>
  <c r="FH22" i="13"/>
  <c r="FE22" i="13"/>
  <c r="EX22" i="13"/>
  <c r="EU22" i="13"/>
  <c r="EN22" i="13"/>
  <c r="EK22" i="13"/>
  <c r="ED22" i="13"/>
  <c r="EA22" i="13"/>
  <c r="DQ22" i="13"/>
  <c r="DJ22" i="13"/>
  <c r="DG22" i="13"/>
  <c r="CZ22" i="13"/>
  <c r="CW22" i="13"/>
  <c r="CP22" i="13"/>
  <c r="CM22" i="13"/>
  <c r="CF22" i="13"/>
  <c r="CC22" i="13"/>
  <c r="BV22" i="13"/>
  <c r="BS22" i="13"/>
  <c r="BL22" i="13"/>
  <c r="BI22" i="13"/>
  <c r="BB22" i="13"/>
  <c r="AY22" i="13"/>
  <c r="FH21" i="13"/>
  <c r="FE21" i="13"/>
  <c r="EX21" i="13"/>
  <c r="EU21" i="13"/>
  <c r="EN21" i="13"/>
  <c r="EK21" i="13"/>
  <c r="ED21" i="13"/>
  <c r="EA21" i="13"/>
  <c r="DQ21" i="13"/>
  <c r="DJ21" i="13"/>
  <c r="DG21" i="13"/>
  <c r="CZ21" i="13"/>
  <c r="CW21" i="13"/>
  <c r="CP21" i="13"/>
  <c r="CM21" i="13"/>
  <c r="CF21" i="13"/>
  <c r="CC21" i="13"/>
  <c r="BS21" i="13"/>
  <c r="BI21" i="13"/>
  <c r="BB21" i="13"/>
  <c r="AY21" i="13"/>
  <c r="FH20" i="13"/>
  <c r="FE20" i="13"/>
  <c r="EX20" i="13"/>
  <c r="EU20" i="13"/>
  <c r="EN20" i="13"/>
  <c r="EK20" i="13"/>
  <c r="ED20" i="13"/>
  <c r="EA20" i="13"/>
  <c r="DQ20" i="13"/>
  <c r="DJ20" i="13"/>
  <c r="DG20" i="13"/>
  <c r="CZ20" i="13"/>
  <c r="CW20" i="13"/>
  <c r="CP20" i="13"/>
  <c r="CM20" i="13"/>
  <c r="CF20" i="13"/>
  <c r="CC20" i="13"/>
  <c r="BV20" i="13"/>
  <c r="BS20" i="13"/>
  <c r="BL20" i="13"/>
  <c r="BI20" i="13"/>
  <c r="BB20" i="13"/>
  <c r="AY20" i="13"/>
  <c r="FH19" i="13"/>
  <c r="FE19" i="13"/>
  <c r="EX19" i="13"/>
  <c r="EU19" i="13"/>
  <c r="EN19" i="13"/>
  <c r="EK19" i="13"/>
  <c r="ED19" i="13"/>
  <c r="EA19" i="13"/>
  <c r="DQ19" i="13"/>
  <c r="DJ19" i="13"/>
  <c r="DG19" i="13"/>
  <c r="CZ19" i="13"/>
  <c r="CW19" i="13"/>
  <c r="CP19" i="13"/>
  <c r="CM19" i="13"/>
  <c r="CF19" i="13"/>
  <c r="CC19" i="13"/>
  <c r="BV19" i="13"/>
  <c r="BS19" i="13"/>
  <c r="BL19" i="13"/>
  <c r="BI19" i="13"/>
  <c r="BB19" i="13"/>
  <c r="AY19" i="13"/>
  <c r="FH18" i="13"/>
  <c r="FE18" i="13"/>
  <c r="EX18" i="13"/>
  <c r="EU18" i="13"/>
  <c r="EN18" i="13"/>
  <c r="EK18" i="13"/>
  <c r="ED18" i="13"/>
  <c r="EA18" i="13"/>
  <c r="DQ18" i="13"/>
  <c r="DJ18" i="13"/>
  <c r="DG18" i="13"/>
  <c r="CZ18" i="13"/>
  <c r="CW18" i="13"/>
  <c r="CP18" i="13"/>
  <c r="CM18" i="13"/>
  <c r="CF18" i="13"/>
  <c r="CC18" i="13"/>
  <c r="BV18" i="13"/>
  <c r="BS18" i="13"/>
  <c r="BL18" i="13"/>
  <c r="BI18" i="13"/>
  <c r="BB18" i="13"/>
  <c r="AY18" i="13"/>
  <c r="FH17" i="13"/>
  <c r="FE17" i="13"/>
  <c r="EX17" i="13"/>
  <c r="EU17" i="13"/>
  <c r="EN17" i="13"/>
  <c r="EK17" i="13"/>
  <c r="ED17" i="13"/>
  <c r="EA17" i="13"/>
  <c r="DQ17" i="13"/>
  <c r="DJ17" i="13"/>
  <c r="DG17" i="13"/>
  <c r="CW17" i="13"/>
  <c r="CP17" i="13"/>
  <c r="CM17" i="13"/>
  <c r="CF17" i="13"/>
  <c r="CC17" i="13"/>
  <c r="BV17" i="13"/>
  <c r="BS17" i="13"/>
  <c r="BL17" i="13"/>
  <c r="BI17" i="13"/>
  <c r="BB17" i="13"/>
  <c r="AY17" i="13"/>
  <c r="FH16" i="13"/>
  <c r="FE16" i="13"/>
  <c r="EX16" i="13"/>
  <c r="EU16" i="13"/>
  <c r="EN16" i="13"/>
  <c r="EK16" i="13"/>
  <c r="ED16" i="13"/>
  <c r="EA16" i="13"/>
  <c r="DQ16" i="13"/>
  <c r="DG16" i="13"/>
  <c r="CZ16" i="13"/>
  <c r="CW16" i="13"/>
  <c r="CP16" i="13"/>
  <c r="CM16" i="13"/>
  <c r="CF16" i="13"/>
  <c r="CC16" i="13"/>
  <c r="BV16" i="13"/>
  <c r="BS16" i="13"/>
  <c r="BL16" i="13"/>
  <c r="BI16" i="13"/>
  <c r="BB16" i="13"/>
  <c r="AY16" i="13"/>
  <c r="FH15" i="13"/>
  <c r="FE15" i="13"/>
  <c r="EX15" i="13"/>
  <c r="EU15" i="13"/>
  <c r="EN15" i="13"/>
  <c r="EK15" i="13"/>
  <c r="ED15" i="13"/>
  <c r="EA15" i="13"/>
  <c r="DQ15" i="13"/>
  <c r="DJ15" i="13"/>
  <c r="DG15" i="13"/>
  <c r="CZ15" i="13"/>
  <c r="CW15" i="13"/>
  <c r="CP15" i="13"/>
  <c r="CM15" i="13"/>
  <c r="CF15" i="13"/>
  <c r="CC15" i="13"/>
  <c r="BV15" i="13"/>
  <c r="BS15" i="13"/>
  <c r="BL15" i="13"/>
  <c r="BI15" i="13"/>
  <c r="BB15" i="13"/>
  <c r="AY15" i="13"/>
  <c r="FH14" i="13"/>
  <c r="FE14" i="13"/>
  <c r="EX14" i="13"/>
  <c r="EU14" i="13"/>
  <c r="EN14" i="13"/>
  <c r="EK14" i="13"/>
  <c r="ED14" i="13"/>
  <c r="EA14" i="13"/>
  <c r="DQ14" i="13"/>
  <c r="DJ14" i="13"/>
  <c r="DG14" i="13"/>
  <c r="CZ14" i="13"/>
  <c r="CW14" i="13"/>
  <c r="CP14" i="13"/>
  <c r="CM14" i="13"/>
  <c r="CF14" i="13"/>
  <c r="CC14" i="13"/>
  <c r="BV14" i="13"/>
  <c r="BS14" i="13"/>
  <c r="BL14" i="13"/>
  <c r="BI14" i="13"/>
  <c r="BB14" i="13"/>
  <c r="AY14" i="13"/>
  <c r="FH13" i="13"/>
  <c r="FE13" i="13"/>
  <c r="EX13" i="13"/>
  <c r="EU13" i="13"/>
  <c r="EN13" i="13"/>
  <c r="EK13" i="13"/>
  <c r="ED13" i="13"/>
  <c r="EA13" i="13"/>
  <c r="DQ13" i="13"/>
  <c r="DJ13" i="13"/>
  <c r="DG13" i="13"/>
  <c r="CZ13" i="13"/>
  <c r="CW13" i="13"/>
  <c r="CP13" i="13"/>
  <c r="CM13" i="13"/>
  <c r="CF13" i="13"/>
  <c r="CC13" i="13"/>
  <c r="BV13" i="13"/>
  <c r="BS13" i="13"/>
  <c r="BL13" i="13"/>
  <c r="BI13" i="13"/>
  <c r="BB13" i="13"/>
  <c r="AY13" i="13"/>
  <c r="FH12" i="13"/>
  <c r="FE12" i="13"/>
  <c r="EX12" i="13"/>
  <c r="EU12" i="13"/>
  <c r="EN12" i="13"/>
  <c r="EK12" i="13"/>
  <c r="ED12" i="13"/>
  <c r="EA12" i="13"/>
  <c r="DQ12" i="13"/>
  <c r="DJ12" i="13"/>
  <c r="DG12" i="13"/>
  <c r="CZ12" i="13"/>
  <c r="CW12" i="13"/>
  <c r="CP12" i="13"/>
  <c r="CM12" i="13"/>
  <c r="CF12" i="13"/>
  <c r="CC12" i="13"/>
  <c r="BV12" i="13"/>
  <c r="BS12" i="13"/>
  <c r="BL12" i="13"/>
  <c r="BI12" i="13"/>
  <c r="BB12" i="13"/>
  <c r="AY12" i="13"/>
  <c r="FH11" i="13"/>
  <c r="FE11" i="13"/>
  <c r="EX11" i="13"/>
  <c r="EU11" i="13"/>
  <c r="EN11" i="13"/>
  <c r="EK11" i="13"/>
  <c r="ED11" i="13"/>
  <c r="EA11" i="13"/>
  <c r="DQ11" i="13"/>
  <c r="DJ11" i="13"/>
  <c r="DG11" i="13"/>
  <c r="CZ11" i="13"/>
  <c r="CW11" i="13"/>
  <c r="CP11" i="13"/>
  <c r="CM11" i="13"/>
  <c r="CF11" i="13"/>
  <c r="CC11" i="13"/>
  <c r="BS11" i="13"/>
  <c r="BL11" i="13"/>
  <c r="BI11" i="13"/>
  <c r="BB11" i="13"/>
  <c r="AY11" i="13"/>
  <c r="FH10" i="13"/>
  <c r="FE10" i="13"/>
  <c r="EX10" i="13"/>
  <c r="EU10" i="13"/>
  <c r="EN10" i="13"/>
  <c r="EK10" i="13"/>
  <c r="ED10" i="13"/>
  <c r="EA10" i="13"/>
  <c r="DQ10" i="13"/>
  <c r="DJ10" i="13"/>
  <c r="DG10" i="13"/>
  <c r="CZ10" i="13"/>
  <c r="CW10" i="13"/>
  <c r="CP10" i="13"/>
  <c r="CM10" i="13"/>
  <c r="CF10" i="13"/>
  <c r="CC10" i="13"/>
  <c r="BV10" i="13"/>
  <c r="BS10" i="13"/>
  <c r="BL10" i="13"/>
  <c r="BI10" i="13"/>
  <c r="BB10" i="13"/>
  <c r="AY10" i="13"/>
  <c r="AH13" i="14" l="1"/>
  <c r="AH16" i="14"/>
  <c r="AI17" i="14"/>
  <c r="F164" i="16" s="1"/>
  <c r="P164" i="16" s="1"/>
  <c r="AI23" i="14"/>
  <c r="AI16" i="14"/>
  <c r="AI13" i="14"/>
  <c r="AH23" i="14"/>
  <c r="AH26" i="13"/>
  <c r="AJ26" i="13" s="1"/>
  <c r="J26" i="13"/>
  <c r="AI26" i="13"/>
  <c r="AK26" i="13" s="1"/>
  <c r="AH21" i="13"/>
  <c r="AJ21" i="13" s="1"/>
  <c r="AH27" i="13"/>
  <c r="AJ27" i="13" s="1"/>
  <c r="AI28" i="13"/>
  <c r="AK28" i="13" s="1"/>
  <c r="AH18" i="14"/>
  <c r="AH19" i="14"/>
  <c r="AH25" i="14"/>
  <c r="AI26" i="14"/>
  <c r="AH17" i="14"/>
  <c r="AI18" i="14"/>
  <c r="AI19" i="14"/>
  <c r="AI25" i="14"/>
  <c r="AK17" i="14"/>
  <c r="AH15" i="14"/>
  <c r="AI22" i="14"/>
  <c r="AI15" i="14"/>
  <c r="AH22" i="14"/>
  <c r="AH26" i="14"/>
  <c r="AI13" i="13"/>
  <c r="AK13" i="13" s="1"/>
  <c r="AH24" i="13"/>
  <c r="AJ24" i="13" s="1"/>
  <c r="AK15" i="13"/>
  <c r="AI21" i="13"/>
  <c r="AK21" i="13" s="1"/>
  <c r="AH22" i="13"/>
  <c r="AJ22" i="13" s="1"/>
  <c r="AH13" i="13"/>
  <c r="AJ13" i="13" s="1"/>
  <c r="AI22" i="13"/>
  <c r="AH18" i="13"/>
  <c r="AJ18" i="13" s="1"/>
  <c r="AI18" i="13"/>
  <c r="AH19" i="13"/>
  <c r="AJ19" i="13" s="1"/>
  <c r="AI24" i="13"/>
  <c r="AK24" i="13" s="1"/>
  <c r="AH11" i="13"/>
  <c r="AJ11" i="13" s="1"/>
  <c r="AH17" i="13"/>
  <c r="AJ17" i="13" s="1"/>
  <c r="AI19" i="13"/>
  <c r="AH10" i="13"/>
  <c r="AJ10" i="13" s="1"/>
  <c r="AI11" i="13"/>
  <c r="AK11" i="13" s="1"/>
  <c r="AH15" i="13"/>
  <c r="AJ15" i="13" s="1"/>
  <c r="AI17" i="13"/>
  <c r="AK17" i="13" s="1"/>
  <c r="AI10" i="13"/>
  <c r="AK10" i="13" s="1"/>
  <c r="AH28" i="13"/>
  <c r="AJ28" i="13" s="1"/>
  <c r="AI16" i="13"/>
  <c r="AH16" i="13"/>
  <c r="AJ16" i="13" s="1"/>
  <c r="AI27" i="13"/>
  <c r="AH12" i="14"/>
  <c r="E159" i="16" s="1"/>
  <c r="I159" i="16" s="1"/>
  <c r="AH21" i="14"/>
  <c r="AI14" i="14"/>
  <c r="AH20" i="14"/>
  <c r="AI21" i="14"/>
  <c r="AH24" i="14"/>
  <c r="AI20" i="14"/>
  <c r="AI24" i="14"/>
  <c r="AH10" i="14"/>
  <c r="AH11" i="14"/>
  <c r="AI10" i="14"/>
  <c r="AI11" i="14"/>
  <c r="AH14" i="14"/>
  <c r="AI12" i="14"/>
  <c r="F159" i="16" s="1"/>
  <c r="J159" i="16" s="1"/>
  <c r="AI23" i="13"/>
  <c r="AK23" i="13" s="1"/>
  <c r="AH23" i="13"/>
  <c r="AJ23" i="13" s="1"/>
  <c r="AH14" i="13"/>
  <c r="AJ14" i="13" s="1"/>
  <c r="AH20" i="13"/>
  <c r="AJ20" i="13" s="1"/>
  <c r="AI14" i="13"/>
  <c r="AI20" i="13"/>
  <c r="X18" i="14"/>
  <c r="AI11" i="15"/>
  <c r="AK11" i="15" s="1"/>
  <c r="AI10" i="15"/>
  <c r="AK10" i="15" s="1"/>
  <c r="I11" i="14"/>
  <c r="AI12" i="13"/>
  <c r="F139" i="16" s="1"/>
  <c r="J139" i="16" s="1"/>
  <c r="AH12" i="13"/>
  <c r="E139" i="16" s="1"/>
  <c r="I139" i="16" s="1"/>
  <c r="F15" i="14"/>
  <c r="AJ25" i="13"/>
  <c r="AK25" i="13"/>
  <c r="AH12" i="15"/>
  <c r="AJ12" i="15" s="1"/>
  <c r="AH13" i="15"/>
  <c r="AJ13" i="15" s="1"/>
  <c r="AH14" i="15"/>
  <c r="AJ14" i="15" s="1"/>
  <c r="AH15" i="15"/>
  <c r="AJ15" i="15" s="1"/>
  <c r="AH16" i="15"/>
  <c r="AJ16" i="15" s="1"/>
  <c r="AH17" i="15"/>
  <c r="AJ17" i="15" s="1"/>
  <c r="AH10" i="15"/>
  <c r="AJ10" i="15" s="1"/>
  <c r="AH11" i="15"/>
  <c r="AJ11" i="15" s="1"/>
  <c r="AI12" i="15"/>
  <c r="AK12" i="15" s="1"/>
  <c r="AI13" i="15"/>
  <c r="AK13" i="15" s="1"/>
  <c r="AI14" i="15"/>
  <c r="AK14" i="15" s="1"/>
  <c r="AI15" i="15"/>
  <c r="AK15" i="15" s="1"/>
  <c r="AI16" i="15"/>
  <c r="AK16" i="15" s="1"/>
  <c r="AI17" i="15"/>
  <c r="AK17" i="15" s="1"/>
  <c r="F12" i="14"/>
  <c r="K11" i="14"/>
  <c r="G16" i="14"/>
  <c r="I24" i="14"/>
  <c r="J21" i="14"/>
  <c r="I13" i="13"/>
  <c r="M13" i="13"/>
  <c r="I15" i="13"/>
  <c r="X11" i="15"/>
  <c r="X21" i="15"/>
  <c r="X28" i="15"/>
  <c r="K21" i="14"/>
  <c r="X29" i="15"/>
  <c r="H12" i="15"/>
  <c r="H14" i="15"/>
  <c r="H17" i="15"/>
  <c r="H13" i="15"/>
  <c r="H10" i="15"/>
  <c r="I21" i="13"/>
  <c r="O10" i="13"/>
  <c r="I22" i="13"/>
  <c r="N10" i="13"/>
  <c r="M15" i="13"/>
  <c r="H25" i="13"/>
  <c r="I12" i="15"/>
  <c r="I13" i="15"/>
  <c r="I10" i="13"/>
  <c r="N18" i="13"/>
  <c r="I18" i="13"/>
  <c r="I19" i="13"/>
  <c r="F25" i="13"/>
  <c r="J25" i="13"/>
  <c r="W23" i="15"/>
  <c r="Z23" i="15" s="1"/>
  <c r="AN23" i="15" s="1"/>
  <c r="W24" i="15"/>
  <c r="Z24" i="15" s="1"/>
  <c r="AN24" i="15" s="1"/>
  <c r="X10" i="15"/>
  <c r="X20" i="15"/>
  <c r="I16" i="13"/>
  <c r="M16" i="13"/>
  <c r="O25" i="13"/>
  <c r="P11" i="13"/>
  <c r="L14" i="13"/>
  <c r="P14" i="13"/>
  <c r="P15" i="13"/>
  <c r="M18" i="13"/>
  <c r="M22" i="13"/>
  <c r="I23" i="13"/>
  <c r="N14" i="13"/>
  <c r="I11" i="13"/>
  <c r="M11" i="13"/>
  <c r="I12" i="13"/>
  <c r="M12" i="13"/>
  <c r="I14" i="13"/>
  <c r="M14" i="13"/>
  <c r="M17" i="13"/>
  <c r="I20" i="13"/>
  <c r="J10" i="14"/>
  <c r="H12" i="14"/>
  <c r="I13" i="14"/>
  <c r="L18" i="14"/>
  <c r="X18" i="15"/>
  <c r="R27" i="15"/>
  <c r="Y27" i="15" s="1" a="1"/>
  <c r="Y27" i="15" s="1"/>
  <c r="F10" i="15"/>
  <c r="J10" i="15"/>
  <c r="F12" i="15"/>
  <c r="F14" i="15"/>
  <c r="F15" i="15"/>
  <c r="F16" i="15"/>
  <c r="F17" i="15"/>
  <c r="W20" i="15"/>
  <c r="Z20" i="15" s="1"/>
  <c r="AN20" i="15" s="1"/>
  <c r="R21" i="15"/>
  <c r="Y21" i="15" s="1" a="1"/>
  <c r="Y21" i="15" s="1"/>
  <c r="W28" i="15"/>
  <c r="Z28" i="15" s="1"/>
  <c r="AN28" i="15" s="1"/>
  <c r="G10" i="15"/>
  <c r="G11" i="15"/>
  <c r="G12" i="15"/>
  <c r="G13" i="15"/>
  <c r="G14" i="15"/>
  <c r="G15" i="15"/>
  <c r="G17" i="15"/>
  <c r="W19" i="15"/>
  <c r="Z19" i="15" s="1"/>
  <c r="AN19" i="15" s="1"/>
  <c r="W27" i="15"/>
  <c r="Z27" i="15" s="1"/>
  <c r="AN27" i="15" s="1"/>
  <c r="W31" i="15"/>
  <c r="Z31" i="15" s="1"/>
  <c r="AN31" i="15" s="1"/>
  <c r="X20" i="14"/>
  <c r="L21" i="14"/>
  <c r="K18" i="14"/>
  <c r="X14" i="14"/>
  <c r="W10" i="13"/>
  <c r="R14" i="13"/>
  <c r="Y14" i="13" s="1" a="1"/>
  <c r="Y14" i="13" s="1"/>
  <c r="M24" i="13"/>
  <c r="I25" i="13"/>
  <c r="M25" i="13"/>
  <c r="I26" i="13"/>
  <c r="M26" i="13"/>
  <c r="I27" i="13"/>
  <c r="M27" i="13"/>
  <c r="I17" i="13"/>
  <c r="I28" i="13"/>
  <c r="I24" i="13"/>
  <c r="R22" i="15"/>
  <c r="Y22" i="15" s="1" a="1"/>
  <c r="Y22" i="15" s="1"/>
  <c r="W10" i="15"/>
  <c r="R10" i="15"/>
  <c r="Y10" i="15" s="1" a="1"/>
  <c r="Y10" i="15" s="1"/>
  <c r="I10" i="15"/>
  <c r="X22" i="15"/>
  <c r="X23" i="15"/>
  <c r="X25" i="15"/>
  <c r="R26" i="15"/>
  <c r="R19" i="15"/>
  <c r="Y19" i="15" s="1" a="1"/>
  <c r="Y19" i="15" s="1"/>
  <c r="X26" i="15"/>
  <c r="X12" i="15"/>
  <c r="W25" i="15"/>
  <c r="Z25" i="15" s="1"/>
  <c r="AN25" i="15" s="1"/>
  <c r="W18" i="15"/>
  <c r="Z18" i="15" s="1"/>
  <c r="AN18" i="15" s="1"/>
  <c r="R30" i="15"/>
  <c r="Y30" i="15" s="1" a="1"/>
  <c r="Y30" i="15" s="1"/>
  <c r="W11" i="15"/>
  <c r="F11" i="15"/>
  <c r="F13" i="15"/>
  <c r="X15" i="15"/>
  <c r="X17" i="15"/>
  <c r="X19" i="15"/>
  <c r="X30" i="15"/>
  <c r="R31" i="15"/>
  <c r="Y31" i="15" s="1" a="1"/>
  <c r="Y31" i="15" s="1"/>
  <c r="R20" i="15"/>
  <c r="Y20" i="15" s="1" a="1"/>
  <c r="Y20" i="15" s="1"/>
  <c r="R25" i="15"/>
  <c r="Y25" i="15" s="1" a="1"/>
  <c r="Y25" i="15" s="1"/>
  <c r="X24" i="15"/>
  <c r="F14" i="14"/>
  <c r="H14" i="14"/>
  <c r="J16" i="14"/>
  <c r="F17" i="14"/>
  <c r="F18" i="14"/>
  <c r="R18" i="14"/>
  <c r="Y18" i="14" s="1" a="1"/>
  <c r="Y18" i="14" s="1"/>
  <c r="J18" i="14"/>
  <c r="I14" i="14"/>
  <c r="R13" i="14"/>
  <c r="Y13" i="14" s="1" a="1"/>
  <c r="Y13" i="14" s="1"/>
  <c r="G14" i="14"/>
  <c r="N25" i="13"/>
  <c r="L25" i="13"/>
  <c r="X30" i="13"/>
  <c r="G10" i="13"/>
  <c r="G11" i="13"/>
  <c r="K11" i="13"/>
  <c r="O11" i="13"/>
  <c r="G12" i="13"/>
  <c r="K12" i="13"/>
  <c r="O12" i="13"/>
  <c r="G13" i="13"/>
  <c r="K13" i="13"/>
  <c r="O13" i="13"/>
  <c r="G14" i="13"/>
  <c r="G15" i="13"/>
  <c r="K15" i="13"/>
  <c r="O15" i="13"/>
  <c r="G16" i="13"/>
  <c r="K16" i="13"/>
  <c r="O16" i="13"/>
  <c r="G17" i="13"/>
  <c r="K17" i="13"/>
  <c r="G18" i="13"/>
  <c r="K18" i="13"/>
  <c r="G19" i="13"/>
  <c r="K19" i="13"/>
  <c r="G20" i="13"/>
  <c r="K20" i="13"/>
  <c r="G21" i="13"/>
  <c r="K21" i="13"/>
  <c r="G22" i="13"/>
  <c r="K22" i="13"/>
  <c r="G23" i="13"/>
  <c r="K23" i="13"/>
  <c r="O23" i="13"/>
  <c r="G24" i="13"/>
  <c r="K24" i="13"/>
  <c r="G25" i="13"/>
  <c r="K25" i="13"/>
  <c r="G26" i="13"/>
  <c r="K26" i="13"/>
  <c r="G27" i="13"/>
  <c r="G28" i="13"/>
  <c r="L24" i="14"/>
  <c r="H25" i="14"/>
  <c r="H26" i="14"/>
  <c r="J15" i="14"/>
  <c r="F16" i="14"/>
  <c r="I25" i="14"/>
  <c r="H15" i="14"/>
  <c r="L15" i="14"/>
  <c r="K24" i="14"/>
  <c r="G25" i="14"/>
  <c r="G26" i="14"/>
  <c r="N18" i="14"/>
  <c r="R30" i="14"/>
  <c r="Y30" i="14" s="1" a="1"/>
  <c r="Y30" i="14" s="1"/>
  <c r="F19" i="14"/>
  <c r="J19" i="14"/>
  <c r="F20" i="14"/>
  <c r="F21" i="14"/>
  <c r="H22" i="14"/>
  <c r="H23" i="14"/>
  <c r="H24" i="14"/>
  <c r="F25" i="14"/>
  <c r="J25" i="14"/>
  <c r="R31" i="14"/>
  <c r="Y31" i="14" s="1" a="1"/>
  <c r="Y31" i="14" s="1"/>
  <c r="G13" i="14"/>
  <c r="I10" i="14"/>
  <c r="J11" i="14"/>
  <c r="G12" i="14"/>
  <c r="H13" i="14"/>
  <c r="I16" i="14"/>
  <c r="I18" i="14"/>
  <c r="M18" i="14"/>
  <c r="I19" i="14"/>
  <c r="I20" i="14"/>
  <c r="G22" i="14"/>
  <c r="K22" i="14"/>
  <c r="G23" i="14"/>
  <c r="G24" i="14"/>
  <c r="W10" i="14"/>
  <c r="F10" i="14"/>
  <c r="F10" i="13"/>
  <c r="J10" i="13"/>
  <c r="F11" i="13"/>
  <c r="J11" i="13"/>
  <c r="N11" i="13"/>
  <c r="F12" i="13"/>
  <c r="J12" i="13"/>
  <c r="N12" i="13"/>
  <c r="F13" i="13"/>
  <c r="J13" i="13"/>
  <c r="N13" i="13"/>
  <c r="F14" i="13"/>
  <c r="J14" i="13"/>
  <c r="F15" i="13"/>
  <c r="J15" i="13"/>
  <c r="N15" i="13"/>
  <c r="F16" i="13"/>
  <c r="J16" i="13"/>
  <c r="N16" i="13"/>
  <c r="F17" i="13"/>
  <c r="J17" i="13"/>
  <c r="F18" i="13"/>
  <c r="J18" i="13"/>
  <c r="F19" i="13"/>
  <c r="J19" i="13"/>
  <c r="F20" i="13"/>
  <c r="J20" i="13"/>
  <c r="F21" i="13"/>
  <c r="J21" i="13"/>
  <c r="F22" i="13"/>
  <c r="J22" i="13"/>
  <c r="F23" i="13"/>
  <c r="J23" i="13"/>
  <c r="N23" i="13"/>
  <c r="F24" i="13"/>
  <c r="J24" i="13"/>
  <c r="N24" i="13"/>
  <c r="F26" i="13"/>
  <c r="F27" i="13"/>
  <c r="J27" i="13"/>
  <c r="F28" i="13"/>
  <c r="I15" i="14"/>
  <c r="M15" i="14"/>
  <c r="X17" i="14"/>
  <c r="I26" i="14"/>
  <c r="X31" i="14"/>
  <c r="G10" i="14"/>
  <c r="K10" i="14"/>
  <c r="G11" i="14"/>
  <c r="I12" i="14"/>
  <c r="W14" i="14"/>
  <c r="G17" i="14"/>
  <c r="G18" i="14"/>
  <c r="G19" i="14"/>
  <c r="G20" i="14"/>
  <c r="H21" i="14"/>
  <c r="I22" i="14"/>
  <c r="I23" i="14"/>
  <c r="H10" i="13"/>
  <c r="H11" i="13"/>
  <c r="L11" i="13"/>
  <c r="H12" i="13"/>
  <c r="L12" i="13"/>
  <c r="P12" i="13"/>
  <c r="H13" i="13"/>
  <c r="L13" i="13"/>
  <c r="H14" i="13"/>
  <c r="H15" i="13"/>
  <c r="L15" i="13"/>
  <c r="H16" i="13"/>
  <c r="L16" i="13"/>
  <c r="H17" i="13"/>
  <c r="L17" i="13"/>
  <c r="H18" i="13"/>
  <c r="L18" i="13"/>
  <c r="H19" i="13"/>
  <c r="L19" i="13"/>
  <c r="H20" i="13"/>
  <c r="L20" i="13"/>
  <c r="H21" i="13"/>
  <c r="H22" i="13"/>
  <c r="L22" i="13"/>
  <c r="H23" i="13"/>
  <c r="L23" i="13"/>
  <c r="P23" i="13"/>
  <c r="H24" i="13"/>
  <c r="L24" i="13"/>
  <c r="H26" i="13"/>
  <c r="L26" i="13"/>
  <c r="H27" i="13"/>
  <c r="H28" i="13"/>
  <c r="X31" i="13"/>
  <c r="G15" i="14"/>
  <c r="K15" i="14"/>
  <c r="J24" i="14"/>
  <c r="F26" i="14"/>
  <c r="H10" i="14"/>
  <c r="L10" i="14"/>
  <c r="H11" i="14"/>
  <c r="J12" i="14"/>
  <c r="F13" i="14"/>
  <c r="H16" i="14"/>
  <c r="H17" i="14"/>
  <c r="H18" i="14"/>
  <c r="H19" i="14"/>
  <c r="H20" i="14"/>
  <c r="I21" i="14"/>
  <c r="F22" i="14"/>
  <c r="J22" i="14"/>
  <c r="F23" i="14"/>
  <c r="J23" i="14"/>
  <c r="F24" i="14"/>
  <c r="G21" i="14"/>
  <c r="W12" i="15"/>
  <c r="W22" i="15"/>
  <c r="Z22" i="15" s="1"/>
  <c r="AN22" i="15" s="1"/>
  <c r="R29" i="15"/>
  <c r="Y29" i="15" s="1" a="1"/>
  <c r="Y29" i="15" s="1"/>
  <c r="W30" i="15"/>
  <c r="Z30" i="15" s="1"/>
  <c r="AN30" i="15" s="1"/>
  <c r="X31" i="15"/>
  <c r="W21" i="15"/>
  <c r="Z21" i="15" s="1"/>
  <c r="AN21" i="15" s="1"/>
  <c r="R28" i="15"/>
  <c r="Y28" i="15" s="1" a="1"/>
  <c r="Y28" i="15" s="1"/>
  <c r="W29" i="15"/>
  <c r="Z29" i="15" s="1"/>
  <c r="AN29" i="15" s="1"/>
  <c r="R18" i="15"/>
  <c r="Y18" i="15" s="1" a="1"/>
  <c r="Y18" i="15" s="1"/>
  <c r="W26" i="15"/>
  <c r="Z26" i="15" s="1"/>
  <c r="AN26" i="15" s="1"/>
  <c r="X27" i="15"/>
  <c r="R12" i="15"/>
  <c r="Y12" i="15" s="1" a="1"/>
  <c r="Y12" i="15" s="1"/>
  <c r="R24" i="15"/>
  <c r="Y24" i="15" s="1" a="1"/>
  <c r="Y24" i="15" s="1"/>
  <c r="W16" i="15"/>
  <c r="R23" i="15"/>
  <c r="Y23" i="15" s="1" a="1"/>
  <c r="Y23" i="15" s="1"/>
  <c r="X13" i="15"/>
  <c r="R16" i="15"/>
  <c r="Y16" i="15" s="1" a="1"/>
  <c r="Y16" i="15" s="1"/>
  <c r="W12" i="14"/>
  <c r="X13" i="14"/>
  <c r="W19" i="14"/>
  <c r="W21" i="14"/>
  <c r="W31" i="14"/>
  <c r="Z31" i="14" s="1"/>
  <c r="AN31" i="14" s="1"/>
  <c r="W17" i="14"/>
  <c r="X23" i="14"/>
  <c r="W15" i="14"/>
  <c r="W11" i="14"/>
  <c r="W22" i="14"/>
  <c r="X25" i="14"/>
  <c r="X26" i="14"/>
  <c r="W13" i="14"/>
  <c r="X11" i="14"/>
  <c r="X22" i="14"/>
  <c r="X12" i="14"/>
  <c r="X19" i="14"/>
  <c r="X21" i="14"/>
  <c r="W25" i="14"/>
  <c r="X15" i="14"/>
  <c r="X28" i="13"/>
  <c r="X29" i="13"/>
  <c r="W31" i="13"/>
  <c r="Z31" i="13" s="1"/>
  <c r="R30" i="13"/>
  <c r="Y30" i="13" s="1" a="1"/>
  <c r="Y30" i="13" s="1"/>
  <c r="W30" i="13"/>
  <c r="Z30" i="13" s="1"/>
  <c r="X16" i="14"/>
  <c r="W16" i="14"/>
  <c r="X17" i="13"/>
  <c r="X16" i="13"/>
  <c r="W28" i="13"/>
  <c r="W16" i="13"/>
  <c r="X23" i="13"/>
  <c r="W24" i="13"/>
  <c r="X25" i="13"/>
  <c r="X18" i="13"/>
  <c r="X26" i="13"/>
  <c r="X11" i="13"/>
  <c r="X12" i="13"/>
  <c r="X13" i="13"/>
  <c r="X15" i="13"/>
  <c r="X20" i="13"/>
  <c r="X27" i="13"/>
  <c r="X24" i="13"/>
  <c r="X21" i="13"/>
  <c r="X14" i="13"/>
  <c r="X10" i="13"/>
  <c r="X22" i="13"/>
  <c r="X19" i="13"/>
  <c r="W15" i="13"/>
  <c r="W23" i="13"/>
  <c r="W17" i="13"/>
  <c r="R22" i="13"/>
  <c r="Y22" i="13" s="1" a="1"/>
  <c r="Y22" i="13" s="1"/>
  <c r="W25" i="13"/>
  <c r="R28" i="13"/>
  <c r="Y28" i="13" s="1" a="1"/>
  <c r="Y28" i="13" s="1"/>
  <c r="R17" i="13"/>
  <c r="Y17" i="13" s="1" a="1"/>
  <c r="Y17" i="13" s="1"/>
  <c r="R13" i="13"/>
  <c r="Y13" i="13" s="1" a="1"/>
  <c r="Y13" i="13" s="1"/>
  <c r="W13" i="13"/>
  <c r="W27" i="13"/>
  <c r="R21" i="13"/>
  <c r="Y21" i="13" s="1" a="1"/>
  <c r="Y21" i="13" s="1"/>
  <c r="W19" i="13"/>
  <c r="W21" i="13"/>
  <c r="W26" i="13"/>
  <c r="R11" i="13"/>
  <c r="Y11" i="13" s="1" a="1"/>
  <c r="Y11" i="13" s="1"/>
  <c r="W18" i="13"/>
  <c r="W22" i="13"/>
  <c r="W14" i="13"/>
  <c r="R29" i="13"/>
  <c r="Y29" i="13" s="1" a="1"/>
  <c r="Y29" i="13" s="1"/>
  <c r="W29" i="13"/>
  <c r="Z29" i="13" s="1"/>
  <c r="W26" i="14"/>
  <c r="X24" i="14"/>
  <c r="W24" i="14"/>
  <c r="W23" i="14"/>
  <c r="W20" i="14"/>
  <c r="W18" i="14"/>
  <c r="X28" i="14"/>
  <c r="X10" i="14"/>
  <c r="W28" i="14"/>
  <c r="Z28" i="14" s="1"/>
  <c r="AN28" i="14" s="1"/>
  <c r="R29" i="14"/>
  <c r="Y29" i="14" s="1" a="1"/>
  <c r="Y29" i="14" s="1"/>
  <c r="R23" i="14"/>
  <c r="Y23" i="14" s="1" a="1"/>
  <c r="Y23" i="14" s="1"/>
  <c r="W29" i="14"/>
  <c r="Z29" i="14" s="1"/>
  <c r="AN29" i="14" s="1"/>
  <c r="R22" i="14"/>
  <c r="Y22" i="14" s="1" a="1"/>
  <c r="Y22" i="14" s="1"/>
  <c r="W30" i="14"/>
  <c r="Z30" i="14" s="1"/>
  <c r="AN30" i="14" s="1"/>
  <c r="W27" i="14"/>
  <c r="Z27" i="14" s="1"/>
  <c r="AN27" i="14" s="1"/>
  <c r="X27" i="14"/>
  <c r="R17" i="14"/>
  <c r="Y17" i="14" s="1" a="1"/>
  <c r="Y17" i="14" s="1"/>
  <c r="R12" i="14"/>
  <c r="Y12" i="14" s="1" a="1"/>
  <c r="Y12" i="14" s="1"/>
  <c r="R16" i="14"/>
  <c r="Y16" i="14" s="1" a="1"/>
  <c r="Y16" i="14" s="1"/>
  <c r="R27" i="13"/>
  <c r="Y27" i="13" s="1" a="1"/>
  <c r="Y27" i="13" s="1"/>
  <c r="R28" i="14"/>
  <c r="Y28" i="14" s="1" a="1"/>
  <c r="Y28" i="14" s="1"/>
  <c r="X30" i="14"/>
  <c r="R12" i="13"/>
  <c r="Y12" i="13" s="1" a="1"/>
  <c r="Y12" i="13" s="1"/>
  <c r="R19" i="13"/>
  <c r="Y19" i="13" s="1" a="1"/>
  <c r="Y19" i="13" s="1"/>
  <c r="R18" i="13"/>
  <c r="Y18" i="13" s="1" a="1"/>
  <c r="Y18" i="13" s="1"/>
  <c r="R26" i="13"/>
  <c r="R15" i="14"/>
  <c r="Y15" i="14" s="1" a="1"/>
  <c r="Y15" i="14" s="1"/>
  <c r="R27" i="14"/>
  <c r="Y27" i="14" s="1" a="1"/>
  <c r="Y27" i="14" s="1"/>
  <c r="X29" i="14"/>
  <c r="R10" i="13"/>
  <c r="Y10" i="13" s="1" a="1"/>
  <c r="Y10" i="13" s="1"/>
  <c r="R25" i="13"/>
  <c r="Y25" i="13" s="1" a="1"/>
  <c r="Y25" i="13" s="1"/>
  <c r="R11" i="14"/>
  <c r="Y11" i="14" s="1" a="1"/>
  <c r="Y11" i="14" s="1"/>
  <c r="R14" i="14"/>
  <c r="Y14" i="14" s="1" a="1"/>
  <c r="Y14" i="14" s="1"/>
  <c r="R21" i="14"/>
  <c r="Y21" i="14" s="1" a="1"/>
  <c r="Y21" i="14" s="1"/>
  <c r="R26" i="14"/>
  <c r="Y26" i="14" s="1" a="1"/>
  <c r="Y26" i="14" s="1"/>
  <c r="W12" i="13"/>
  <c r="W11" i="13"/>
  <c r="R16" i="13"/>
  <c r="Y16" i="13" s="1" a="1"/>
  <c r="Y16" i="13" s="1"/>
  <c r="R24" i="13"/>
  <c r="Y24" i="13" s="1" a="1"/>
  <c r="Y24" i="13" s="1"/>
  <c r="R10" i="14"/>
  <c r="Y10" i="14" s="1" a="1"/>
  <c r="Y10" i="14" s="1"/>
  <c r="R20" i="14"/>
  <c r="Y20" i="14" s="1" a="1"/>
  <c r="Y20" i="14" s="1"/>
  <c r="R25" i="14"/>
  <c r="Y25" i="14" s="1" a="1"/>
  <c r="Y25" i="14" s="1"/>
  <c r="R20" i="13"/>
  <c r="Y20" i="13" s="1" a="1"/>
  <c r="Y20" i="13" s="1"/>
  <c r="W20" i="13"/>
  <c r="R15" i="13"/>
  <c r="Y15" i="13" s="1" a="1"/>
  <c r="Y15" i="13" s="1"/>
  <c r="R23" i="13"/>
  <c r="Y23" i="13" s="1" a="1"/>
  <c r="Y23" i="13" s="1"/>
  <c r="R31" i="13"/>
  <c r="Y31" i="13" s="1" a="1"/>
  <c r="Y31" i="13" s="1"/>
  <c r="R19" i="14"/>
  <c r="Y19" i="14" s="1" a="1"/>
  <c r="Y19" i="14" s="1"/>
  <c r="R24" i="14"/>
  <c r="Y24" i="14" s="1" a="1"/>
  <c r="Y24" i="14" s="1"/>
  <c r="R11" i="15"/>
  <c r="Y11" i="15" s="1" a="1"/>
  <c r="Y11" i="15" s="1"/>
  <c r="X14" i="15"/>
  <c r="W15" i="15"/>
  <c r="W13" i="15"/>
  <c r="X16" i="15"/>
  <c r="R17" i="15"/>
  <c r="Y17" i="15" s="1" a="1"/>
  <c r="Y17" i="15" s="1"/>
  <c r="W17" i="15"/>
  <c r="R15" i="15"/>
  <c r="Y15" i="15" s="1" a="1"/>
  <c r="Y15" i="15" s="1"/>
  <c r="R14" i="15"/>
  <c r="Y14" i="15" s="1" a="1"/>
  <c r="Y14" i="15" s="1"/>
  <c r="R13" i="15"/>
  <c r="Y13" i="15" s="1" a="1"/>
  <c r="Y13" i="15" s="1"/>
  <c r="W14" i="15"/>
  <c r="AK27" i="13" l="1"/>
  <c r="J154" i="16"/>
  <c r="AK22" i="13"/>
  <c r="F149" i="16"/>
  <c r="L149" i="16" s="1"/>
  <c r="AK20" i="13"/>
  <c r="F147" i="16"/>
  <c r="J147" i="16" s="1"/>
  <c r="AK19" i="13"/>
  <c r="F146" i="16"/>
  <c r="J146" i="16" s="1"/>
  <c r="AK18" i="13"/>
  <c r="F145" i="16"/>
  <c r="J145" i="16" s="1"/>
  <c r="AK16" i="13"/>
  <c r="J143" i="16"/>
  <c r="AK14" i="13"/>
  <c r="F141" i="16"/>
  <c r="J141" i="16" s="1"/>
  <c r="AJ24" i="14"/>
  <c r="E171" i="16"/>
  <c r="I171" i="16" s="1"/>
  <c r="AK22" i="14"/>
  <c r="F169" i="16"/>
  <c r="J169" i="16" s="1"/>
  <c r="AJ25" i="14"/>
  <c r="E172" i="16"/>
  <c r="I172" i="16" s="1"/>
  <c r="AJ14" i="14"/>
  <c r="E161" i="16"/>
  <c r="M161" i="16" s="1"/>
  <c r="AK21" i="14"/>
  <c r="F168" i="16"/>
  <c r="J168" i="16" s="1"/>
  <c r="AJ15" i="14"/>
  <c r="E162" i="16"/>
  <c r="I162" i="16" s="1"/>
  <c r="AJ19" i="14"/>
  <c r="E166" i="16"/>
  <c r="I166" i="16" s="1"/>
  <c r="AJ23" i="14"/>
  <c r="E170" i="16"/>
  <c r="M170" i="16" s="1"/>
  <c r="AJ18" i="14"/>
  <c r="E165" i="16"/>
  <c r="I165" i="16" s="1"/>
  <c r="AK10" i="14"/>
  <c r="F157" i="16"/>
  <c r="L157" i="16" s="1"/>
  <c r="AK14" i="14"/>
  <c r="F161" i="16"/>
  <c r="N161" i="16" s="1"/>
  <c r="AK25" i="14"/>
  <c r="F172" i="16"/>
  <c r="J172" i="16" s="1"/>
  <c r="AK16" i="14"/>
  <c r="F163" i="16"/>
  <c r="J163" i="16" s="1"/>
  <c r="AK11" i="14"/>
  <c r="F158" i="16"/>
  <c r="N158" i="16" s="1"/>
  <c r="AJ20" i="14"/>
  <c r="E167" i="16"/>
  <c r="I167" i="16" s="1"/>
  <c r="AK13" i="14"/>
  <c r="F160" i="16"/>
  <c r="J160" i="16" s="1"/>
  <c r="AJ11" i="14"/>
  <c r="E158" i="16"/>
  <c r="M158" i="16" s="1"/>
  <c r="AJ21" i="14"/>
  <c r="E168" i="16"/>
  <c r="I168" i="16" s="1"/>
  <c r="AK19" i="14"/>
  <c r="F166" i="16"/>
  <c r="J166" i="16" s="1"/>
  <c r="AK23" i="14"/>
  <c r="F170" i="16"/>
  <c r="N170" i="16" s="1"/>
  <c r="AJ10" i="14"/>
  <c r="E157" i="16"/>
  <c r="K157" i="16" s="1"/>
  <c r="AJ26" i="14"/>
  <c r="E173" i="16"/>
  <c r="K173" i="16" s="1"/>
  <c r="AK18" i="14"/>
  <c r="F165" i="16"/>
  <c r="J165" i="16" s="1"/>
  <c r="AK24" i="14"/>
  <c r="F171" i="16"/>
  <c r="J171" i="16" s="1"/>
  <c r="E169" i="16"/>
  <c r="I169" i="16" s="1"/>
  <c r="AJ17" i="14"/>
  <c r="E164" i="16"/>
  <c r="O164" i="16" s="1"/>
  <c r="AJ16" i="14"/>
  <c r="E163" i="16"/>
  <c r="I163" i="16" s="1"/>
  <c r="AK20" i="14"/>
  <c r="F167" i="16"/>
  <c r="J167" i="16" s="1"/>
  <c r="AK15" i="14"/>
  <c r="F162" i="16"/>
  <c r="J162" i="16" s="1"/>
  <c r="AK26" i="14"/>
  <c r="F173" i="16"/>
  <c r="L173" i="16" s="1"/>
  <c r="AJ13" i="14"/>
  <c r="E160" i="16"/>
  <c r="I160" i="16" s="1"/>
  <c r="Z18" i="14"/>
  <c r="AN18" i="14" s="1"/>
  <c r="I87" i="17" s="1"/>
  <c r="AK12" i="13"/>
  <c r="AI7" i="13"/>
  <c r="H159" i="17" s="1"/>
  <c r="AJ12" i="13"/>
  <c r="AH7" i="13"/>
  <c r="AK12" i="14"/>
  <c r="AI7" i="14"/>
  <c r="I159" i="17" s="1"/>
  <c r="AJ12" i="14"/>
  <c r="AH7" i="14"/>
  <c r="Z22" i="14"/>
  <c r="AN22" i="14" s="1"/>
  <c r="I91" i="17" s="1"/>
  <c r="Z25" i="14"/>
  <c r="AN25" i="14" s="1"/>
  <c r="I94" i="17" s="1"/>
  <c r="Z12" i="15"/>
  <c r="AN12" i="15" s="1"/>
  <c r="I98" i="17" s="1"/>
  <c r="Z10" i="15"/>
  <c r="Z21" i="14"/>
  <c r="AN21" i="14" s="1"/>
  <c r="I90" i="17" s="1"/>
  <c r="Z19" i="14"/>
  <c r="AN19" i="14" s="1"/>
  <c r="I88" i="17" s="1"/>
  <c r="Z26" i="14"/>
  <c r="AN26" i="14" s="1"/>
  <c r="Z15" i="14"/>
  <c r="AN15" i="14" s="1"/>
  <c r="I84" i="17" s="1"/>
  <c r="Z12" i="14"/>
  <c r="AN12" i="14" s="1"/>
  <c r="I81" i="17" s="1"/>
  <c r="Z28" i="13"/>
  <c r="AN28" i="13" s="1"/>
  <c r="I78" i="17" s="1"/>
  <c r="Z14" i="14"/>
  <c r="AN14" i="14" s="1"/>
  <c r="I83" i="17" s="1"/>
  <c r="Z11" i="14"/>
  <c r="AN11" i="14" s="1"/>
  <c r="I80" i="17" s="1"/>
  <c r="Z17" i="14"/>
  <c r="AN17" i="14" s="1"/>
  <c r="I86" i="17" s="1"/>
  <c r="Z13" i="14"/>
  <c r="Z16" i="15"/>
  <c r="AN16" i="15" s="1"/>
  <c r="Z15" i="15"/>
  <c r="AN15" i="15" s="1"/>
  <c r="Z24" i="14"/>
  <c r="AN24" i="14" s="1"/>
  <c r="I93" i="17" s="1"/>
  <c r="Z16" i="14"/>
  <c r="Z16" i="13"/>
  <c r="AN16" i="13" s="1"/>
  <c r="I66" i="17" s="1"/>
  <c r="Z25" i="13"/>
  <c r="AN25" i="13" s="1"/>
  <c r="I75" i="17" s="1"/>
  <c r="Z15" i="13"/>
  <c r="AN15" i="13" s="1"/>
  <c r="I65" i="17" s="1"/>
  <c r="Z17" i="13"/>
  <c r="AN17" i="13" s="1"/>
  <c r="I67" i="17" s="1"/>
  <c r="Z26" i="13"/>
  <c r="AN26" i="13" s="1"/>
  <c r="I76" i="17" s="1"/>
  <c r="Z24" i="13"/>
  <c r="AN24" i="13" s="1"/>
  <c r="I74" i="17" s="1"/>
  <c r="Z23" i="13"/>
  <c r="AN23" i="13" s="1"/>
  <c r="I73" i="17" s="1"/>
  <c r="Z14" i="13"/>
  <c r="AN14" i="13" s="1"/>
  <c r="I64" i="17" s="1"/>
  <c r="Z22" i="13"/>
  <c r="AN22" i="13" s="1"/>
  <c r="I72" i="17" s="1"/>
  <c r="Z19" i="13"/>
  <c r="AN19" i="13" s="1"/>
  <c r="I69" i="17" s="1"/>
  <c r="Z13" i="13"/>
  <c r="AN13" i="13" s="1"/>
  <c r="I63" i="17" s="1"/>
  <c r="Z21" i="13"/>
  <c r="AN21" i="13" s="1"/>
  <c r="I71" i="17" s="1"/>
  <c r="Z18" i="13"/>
  <c r="AN18" i="13" s="1"/>
  <c r="I68" i="17" s="1"/>
  <c r="Z11" i="13"/>
  <c r="AN11" i="13" s="1"/>
  <c r="I61" i="17" s="1"/>
  <c r="Z12" i="13"/>
  <c r="AN12" i="13" s="1"/>
  <c r="I62" i="17" s="1"/>
  <c r="Z10" i="13"/>
  <c r="Z27" i="13"/>
  <c r="AN27" i="13" s="1"/>
  <c r="I77" i="17" s="1"/>
  <c r="Z20" i="13"/>
  <c r="AN20" i="13" s="1"/>
  <c r="I70" i="17" s="1"/>
  <c r="Z23" i="14"/>
  <c r="AN23" i="14" s="1"/>
  <c r="Z20" i="14"/>
  <c r="AN20" i="14" s="1"/>
  <c r="I89" i="17" s="1"/>
  <c r="Z11" i="15"/>
  <c r="AN11" i="15" s="1"/>
  <c r="I97" i="17" s="1"/>
  <c r="Z13" i="15"/>
  <c r="AN13" i="15" s="1"/>
  <c r="I99" i="17" s="1"/>
  <c r="Z14" i="15"/>
  <c r="AN14" i="15" s="1"/>
  <c r="I100" i="17" s="1"/>
  <c r="Z17" i="15"/>
  <c r="AN17" i="15" s="1"/>
  <c r="FH31" i="12"/>
  <c r="FE31" i="12"/>
  <c r="EX31" i="12"/>
  <c r="EU31" i="12"/>
  <c r="EN31" i="12"/>
  <c r="EK31" i="12"/>
  <c r="ED31" i="12"/>
  <c r="EA31" i="12"/>
  <c r="DT31" i="12"/>
  <c r="DQ31" i="12"/>
  <c r="DJ31" i="12"/>
  <c r="DG31" i="12"/>
  <c r="CZ31" i="12"/>
  <c r="CW31" i="12"/>
  <c r="CP31" i="12"/>
  <c r="CM31" i="12"/>
  <c r="CF31" i="12"/>
  <c r="CC31" i="12"/>
  <c r="BV31" i="12"/>
  <c r="BS31" i="12"/>
  <c r="BL31" i="12"/>
  <c r="BI31" i="12"/>
  <c r="BB31" i="12"/>
  <c r="AY31" i="12"/>
  <c r="FH30" i="12"/>
  <c r="FE30" i="12"/>
  <c r="EX30" i="12"/>
  <c r="EU30" i="12"/>
  <c r="EN30" i="12"/>
  <c r="EK30" i="12"/>
  <c r="ED30" i="12"/>
  <c r="EA30" i="12"/>
  <c r="DT30" i="12"/>
  <c r="DQ30" i="12"/>
  <c r="DJ30" i="12"/>
  <c r="DG30" i="12"/>
  <c r="CZ30" i="12"/>
  <c r="CW30" i="12"/>
  <c r="CP30" i="12"/>
  <c r="CM30" i="12"/>
  <c r="CF30" i="12"/>
  <c r="CC30" i="12"/>
  <c r="BV30" i="12"/>
  <c r="BS30" i="12"/>
  <c r="BL30" i="12"/>
  <c r="BI30" i="12"/>
  <c r="BB30" i="12"/>
  <c r="AY30" i="12"/>
  <c r="FH29" i="12"/>
  <c r="FE29" i="12"/>
  <c r="EX29" i="12"/>
  <c r="EU29" i="12"/>
  <c r="EN29" i="12"/>
  <c r="EK29" i="12"/>
  <c r="ED29" i="12"/>
  <c r="EA29" i="12"/>
  <c r="DT29" i="12"/>
  <c r="DQ29" i="12"/>
  <c r="DJ29" i="12"/>
  <c r="DG29" i="12"/>
  <c r="CZ29" i="12"/>
  <c r="CW29" i="12"/>
  <c r="CP29" i="12"/>
  <c r="CM29" i="12"/>
  <c r="CF29" i="12"/>
  <c r="CC29" i="12"/>
  <c r="BV29" i="12"/>
  <c r="BS29" i="12"/>
  <c r="BL29" i="12"/>
  <c r="BI29" i="12"/>
  <c r="BB29" i="12"/>
  <c r="AY29" i="12"/>
  <c r="DT27" i="12"/>
  <c r="DQ27" i="12"/>
  <c r="DJ27" i="12"/>
  <c r="DG27" i="12"/>
  <c r="CW27" i="12"/>
  <c r="CM27" i="12"/>
  <c r="DT26" i="12"/>
  <c r="DQ26" i="12"/>
  <c r="DJ26" i="12"/>
  <c r="DT24" i="12"/>
  <c r="DQ24" i="12"/>
  <c r="DJ24" i="12"/>
  <c r="DJ23" i="12"/>
  <c r="DT22" i="12"/>
  <c r="DQ22" i="12"/>
  <c r="DQ20" i="12"/>
  <c r="DT17" i="12"/>
  <c r="DQ17" i="12"/>
  <c r="ED16" i="12"/>
  <c r="DT14" i="12"/>
  <c r="DQ14" i="12"/>
  <c r="DT11" i="12"/>
  <c r="DQ11" i="12"/>
  <c r="FH10" i="12"/>
  <c r="FE10" i="12"/>
  <c r="EX10" i="12"/>
  <c r="EU10" i="12"/>
  <c r="EN10" i="12"/>
  <c r="EK10" i="12"/>
  <c r="ED10" i="12"/>
  <c r="EA10" i="12"/>
  <c r="DT10" i="12"/>
  <c r="DQ10" i="12"/>
  <c r="FH31" i="11"/>
  <c r="FE31" i="11"/>
  <c r="EX31" i="11"/>
  <c r="EU31" i="11"/>
  <c r="EN31" i="11"/>
  <c r="EK31" i="11"/>
  <c r="ED31" i="11"/>
  <c r="EA31" i="11"/>
  <c r="DT31" i="11"/>
  <c r="DQ31" i="11"/>
  <c r="DJ31" i="11"/>
  <c r="DG31" i="11"/>
  <c r="CZ31" i="11"/>
  <c r="CW31" i="11"/>
  <c r="CP31" i="11"/>
  <c r="CM31" i="11"/>
  <c r="CF31" i="11"/>
  <c r="CC31" i="11"/>
  <c r="BV31" i="11"/>
  <c r="BS31" i="11"/>
  <c r="BL31" i="11"/>
  <c r="BI31" i="11"/>
  <c r="BB31" i="11"/>
  <c r="AY31" i="11"/>
  <c r="FH30" i="11"/>
  <c r="FE30" i="11"/>
  <c r="EX30" i="11"/>
  <c r="EU30" i="11"/>
  <c r="EN30" i="11"/>
  <c r="EK30" i="11"/>
  <c r="ED30" i="11"/>
  <c r="EA30" i="11"/>
  <c r="DT30" i="11"/>
  <c r="DQ30" i="11"/>
  <c r="DJ30" i="11"/>
  <c r="DG30" i="11"/>
  <c r="CW30" i="11"/>
  <c r="CP30" i="11"/>
  <c r="CM30" i="11"/>
  <c r="CF30" i="11"/>
  <c r="CC30" i="11"/>
  <c r="BV30" i="11"/>
  <c r="BS30" i="11"/>
  <c r="BL30" i="11"/>
  <c r="BI30" i="11"/>
  <c r="BB30" i="11"/>
  <c r="AY30" i="11"/>
  <c r="FH29" i="11"/>
  <c r="FE29" i="11"/>
  <c r="EX29" i="11"/>
  <c r="EU29" i="11"/>
  <c r="EN29" i="11"/>
  <c r="EK29" i="11"/>
  <c r="ED29" i="11"/>
  <c r="EA29" i="11"/>
  <c r="DT29" i="11"/>
  <c r="DQ29" i="11"/>
  <c r="DJ29" i="11"/>
  <c r="DG29" i="11"/>
  <c r="CZ29" i="11"/>
  <c r="CW29" i="11"/>
  <c r="CP29" i="11"/>
  <c r="CM29" i="11"/>
  <c r="CF29" i="11"/>
  <c r="CC29" i="11"/>
  <c r="BV29" i="11"/>
  <c r="BS29" i="11"/>
  <c r="BL29" i="11"/>
  <c r="BI29" i="11"/>
  <c r="BB29" i="11"/>
  <c r="AY29" i="11"/>
  <c r="FH28" i="11"/>
  <c r="FE28" i="11"/>
  <c r="EX28" i="11"/>
  <c r="EU28" i="11"/>
  <c r="EN28" i="11"/>
  <c r="EK28" i="11"/>
  <c r="ED28" i="11"/>
  <c r="EA28" i="11"/>
  <c r="DT28" i="11"/>
  <c r="DQ28" i="11"/>
  <c r="DJ28" i="11"/>
  <c r="DG28" i="11"/>
  <c r="CZ28" i="11"/>
  <c r="CW28" i="11"/>
  <c r="CP28" i="11"/>
  <c r="CM28" i="11"/>
  <c r="CC28" i="11"/>
  <c r="BV28" i="11"/>
  <c r="BS28" i="11"/>
  <c r="BL28" i="11"/>
  <c r="BI28" i="11"/>
  <c r="BB28" i="11"/>
  <c r="AY28" i="11"/>
  <c r="FH27" i="11"/>
  <c r="FE27" i="11"/>
  <c r="EX27" i="11"/>
  <c r="EU27" i="11"/>
  <c r="EN27" i="11"/>
  <c r="EK27" i="11"/>
  <c r="ED27" i="11"/>
  <c r="EA27" i="11"/>
  <c r="DT27" i="11"/>
  <c r="DQ27" i="11"/>
  <c r="DJ27" i="11"/>
  <c r="DG27" i="11"/>
  <c r="CZ27" i="11"/>
  <c r="CW27" i="11"/>
  <c r="CP27" i="11"/>
  <c r="CM27" i="11"/>
  <c r="CF27" i="11"/>
  <c r="CC27" i="11"/>
  <c r="BV27" i="11"/>
  <c r="BS27" i="11"/>
  <c r="BL27" i="11"/>
  <c r="BI27" i="11"/>
  <c r="BB27" i="11"/>
  <c r="FH26" i="11"/>
  <c r="FE26" i="11"/>
  <c r="EX26" i="11"/>
  <c r="EU26" i="11"/>
  <c r="EN26" i="11"/>
  <c r="EK26" i="11"/>
  <c r="ED26" i="11"/>
  <c r="EA26" i="11"/>
  <c r="DT26" i="11"/>
  <c r="DQ26" i="11"/>
  <c r="DJ26" i="11"/>
  <c r="DG26" i="11"/>
  <c r="CZ26" i="11"/>
  <c r="CW26" i="11"/>
  <c r="CP26" i="11"/>
  <c r="CM26" i="11"/>
  <c r="CF26" i="11"/>
  <c r="BV26" i="11"/>
  <c r="BS26" i="11"/>
  <c r="BL26" i="11"/>
  <c r="BI26" i="11"/>
  <c r="AH26" i="11" s="1"/>
  <c r="AJ26" i="11" s="1"/>
  <c r="BB26" i="11"/>
  <c r="FH25" i="11"/>
  <c r="FE25" i="11"/>
  <c r="EX25" i="11"/>
  <c r="EU25" i="11"/>
  <c r="EN25" i="11"/>
  <c r="EK25" i="11"/>
  <c r="ED25" i="11"/>
  <c r="EA25" i="11"/>
  <c r="DT25" i="11"/>
  <c r="DQ25" i="11"/>
  <c r="DJ25" i="11"/>
  <c r="DG25" i="11"/>
  <c r="CZ25" i="11"/>
  <c r="CW25" i="11"/>
  <c r="CP25" i="11"/>
  <c r="CM25" i="11"/>
  <c r="CF25" i="11"/>
  <c r="CC25" i="11"/>
  <c r="BV25" i="11"/>
  <c r="BS25" i="11"/>
  <c r="BL25" i="11"/>
  <c r="BI25" i="11"/>
  <c r="BB25" i="11"/>
  <c r="AY25" i="11"/>
  <c r="FH24" i="11"/>
  <c r="FE24" i="11"/>
  <c r="EX24" i="11"/>
  <c r="EU24" i="11"/>
  <c r="EN24" i="11"/>
  <c r="EK24" i="11"/>
  <c r="ED24" i="11"/>
  <c r="EA24" i="11"/>
  <c r="DT24" i="11"/>
  <c r="DQ24" i="11"/>
  <c r="DJ24" i="11"/>
  <c r="DG24" i="11"/>
  <c r="CZ24" i="11"/>
  <c r="CW24" i="11"/>
  <c r="CM24" i="11"/>
  <c r="CF24" i="11"/>
  <c r="CC24" i="11"/>
  <c r="BV24" i="11"/>
  <c r="BS24" i="11"/>
  <c r="BL24" i="11"/>
  <c r="BI24" i="11"/>
  <c r="BB24" i="11"/>
  <c r="AY24" i="11"/>
  <c r="FH23" i="11"/>
  <c r="FE23" i="11"/>
  <c r="EX23" i="11"/>
  <c r="EU23" i="11"/>
  <c r="EN23" i="11"/>
  <c r="EK23" i="11"/>
  <c r="ED23" i="11"/>
  <c r="EA23" i="11"/>
  <c r="DT23" i="11"/>
  <c r="DQ23" i="11"/>
  <c r="DJ23" i="11"/>
  <c r="DG23" i="11"/>
  <c r="CZ23" i="11"/>
  <c r="CW23" i="11"/>
  <c r="CP23" i="11"/>
  <c r="CM23" i="11"/>
  <c r="CF23" i="11"/>
  <c r="CC23" i="11"/>
  <c r="BV23" i="11"/>
  <c r="BS23" i="11"/>
  <c r="BL23" i="11"/>
  <c r="BI23" i="11"/>
  <c r="BB23" i="11"/>
  <c r="AY23" i="11"/>
  <c r="FH22" i="11"/>
  <c r="FE22" i="11"/>
  <c r="EX22" i="11"/>
  <c r="EU22" i="11"/>
  <c r="EN22" i="11"/>
  <c r="EK22" i="11"/>
  <c r="ED22" i="11"/>
  <c r="EA22" i="11"/>
  <c r="DT22" i="11"/>
  <c r="DQ22" i="11"/>
  <c r="DJ22" i="11"/>
  <c r="DG22" i="11"/>
  <c r="CZ22" i="11"/>
  <c r="CW22" i="11"/>
  <c r="CP22" i="11"/>
  <c r="CM22" i="11"/>
  <c r="CC22" i="11"/>
  <c r="BV22" i="11"/>
  <c r="BS22" i="11"/>
  <c r="BL22" i="11"/>
  <c r="BI22" i="11"/>
  <c r="BB22" i="11"/>
  <c r="AY22" i="11"/>
  <c r="FH21" i="11"/>
  <c r="FE21" i="11"/>
  <c r="EX21" i="11"/>
  <c r="EU21" i="11"/>
  <c r="EN21" i="11"/>
  <c r="EK21" i="11"/>
  <c r="ED21" i="11"/>
  <c r="EA21" i="11"/>
  <c r="DT21" i="11"/>
  <c r="DQ21" i="11"/>
  <c r="DJ21" i="11"/>
  <c r="DG21" i="11"/>
  <c r="CZ21" i="11"/>
  <c r="CW21" i="11"/>
  <c r="CP21" i="11"/>
  <c r="CM21" i="11"/>
  <c r="CF21" i="11"/>
  <c r="CC21" i="11"/>
  <c r="BV21" i="11"/>
  <c r="BS21" i="11"/>
  <c r="BI21" i="11"/>
  <c r="BB21" i="11"/>
  <c r="AY21" i="11"/>
  <c r="FH20" i="11"/>
  <c r="FE20" i="11"/>
  <c r="EX20" i="11"/>
  <c r="EU20" i="11"/>
  <c r="EN20" i="11"/>
  <c r="EK20" i="11"/>
  <c r="ED20" i="11"/>
  <c r="EA20" i="11"/>
  <c r="DT20" i="11"/>
  <c r="DQ20" i="11"/>
  <c r="DJ20" i="11"/>
  <c r="DG20" i="11"/>
  <c r="CZ20" i="11"/>
  <c r="CW20" i="11"/>
  <c r="CP20" i="11"/>
  <c r="CM20" i="11"/>
  <c r="CF20" i="11"/>
  <c r="CC20" i="11"/>
  <c r="BS20" i="11"/>
  <c r="BL20" i="11"/>
  <c r="BI20" i="11"/>
  <c r="BB20" i="11"/>
  <c r="AI20" i="11" s="1"/>
  <c r="F110" i="16" s="1"/>
  <c r="J110" i="16" s="1"/>
  <c r="AY20" i="11"/>
  <c r="AH20" i="11" s="1"/>
  <c r="FH19" i="11"/>
  <c r="FE19" i="11"/>
  <c r="EX19" i="11"/>
  <c r="EU19" i="11"/>
  <c r="EN19" i="11"/>
  <c r="EK19" i="11"/>
  <c r="ED19" i="11"/>
  <c r="EA19" i="11"/>
  <c r="DT19" i="11"/>
  <c r="DQ19" i="11"/>
  <c r="DJ19" i="11"/>
  <c r="DG19" i="11"/>
  <c r="CZ19" i="11"/>
  <c r="CW19" i="11"/>
  <c r="CP19" i="11"/>
  <c r="CM19" i="11"/>
  <c r="CF19" i="11"/>
  <c r="CC19" i="11"/>
  <c r="BV19" i="11"/>
  <c r="BS19" i="11"/>
  <c r="BL19" i="11"/>
  <c r="BI19" i="11"/>
  <c r="BB19" i="11"/>
  <c r="AY19" i="11"/>
  <c r="FH18" i="11"/>
  <c r="FE18" i="11"/>
  <c r="EX18" i="11"/>
  <c r="EU18" i="11"/>
  <c r="EN18" i="11"/>
  <c r="EK18" i="11"/>
  <c r="ED18" i="11"/>
  <c r="EA18" i="11"/>
  <c r="DT18" i="11"/>
  <c r="DQ18" i="11"/>
  <c r="DJ18" i="11"/>
  <c r="DG18" i="11"/>
  <c r="CZ18" i="11"/>
  <c r="CW18" i="11"/>
  <c r="CP18" i="11"/>
  <c r="CM18" i="11"/>
  <c r="CF18" i="11"/>
  <c r="CC18" i="11"/>
  <c r="BV18" i="11"/>
  <c r="BS18" i="11"/>
  <c r="BL18" i="11"/>
  <c r="BB18" i="11"/>
  <c r="AY18" i="11"/>
  <c r="FH17" i="11"/>
  <c r="FE17" i="11"/>
  <c r="EX17" i="11"/>
  <c r="EU17" i="11"/>
  <c r="EN17" i="11"/>
  <c r="EK17" i="11"/>
  <c r="ED17" i="11"/>
  <c r="EA17" i="11"/>
  <c r="DT17" i="11"/>
  <c r="DQ17" i="11"/>
  <c r="DJ17" i="11"/>
  <c r="DG17" i="11"/>
  <c r="CZ17" i="11"/>
  <c r="CW17" i="11"/>
  <c r="CP17" i="11"/>
  <c r="CF17" i="11"/>
  <c r="CC17" i="11"/>
  <c r="BV17" i="11"/>
  <c r="BS17" i="11"/>
  <c r="BL17" i="11"/>
  <c r="BI17" i="11"/>
  <c r="BB17" i="11"/>
  <c r="AY17" i="11"/>
  <c r="FH16" i="11"/>
  <c r="FE16" i="11"/>
  <c r="EX16" i="11"/>
  <c r="EU16" i="11"/>
  <c r="EN16" i="11"/>
  <c r="EK16" i="11"/>
  <c r="ED16" i="11"/>
  <c r="EA16" i="11"/>
  <c r="DT16" i="11"/>
  <c r="DQ16" i="11"/>
  <c r="DJ16" i="11"/>
  <c r="DG16" i="11"/>
  <c r="CZ16" i="11"/>
  <c r="CW16" i="11"/>
  <c r="CP16" i="11"/>
  <c r="CM16" i="11"/>
  <c r="CF16" i="11"/>
  <c r="CC16" i="11"/>
  <c r="BV16" i="11"/>
  <c r="BS16" i="11"/>
  <c r="BL16" i="11"/>
  <c r="BI16" i="11"/>
  <c r="BB16" i="11"/>
  <c r="AY16" i="11"/>
  <c r="FH15" i="11"/>
  <c r="FE15" i="11"/>
  <c r="EX15" i="11"/>
  <c r="EU15" i="11"/>
  <c r="EN15" i="11"/>
  <c r="EK15" i="11"/>
  <c r="ED15" i="11"/>
  <c r="EA15" i="11"/>
  <c r="DT15" i="11"/>
  <c r="DQ15" i="11"/>
  <c r="DJ15" i="11"/>
  <c r="DG15" i="11"/>
  <c r="CZ15" i="11"/>
  <c r="CW15" i="11"/>
  <c r="CP15" i="11"/>
  <c r="CM15" i="11"/>
  <c r="CF15" i="11"/>
  <c r="CC15" i="11"/>
  <c r="BV15" i="11"/>
  <c r="BS15" i="11"/>
  <c r="BI15" i="11"/>
  <c r="BB15" i="11"/>
  <c r="AY15" i="11"/>
  <c r="FH14" i="11"/>
  <c r="FE14" i="11"/>
  <c r="EX14" i="11"/>
  <c r="EU14" i="11"/>
  <c r="EN14" i="11"/>
  <c r="EK14" i="11"/>
  <c r="ED14" i="11"/>
  <c r="EA14" i="11"/>
  <c r="DT14" i="11"/>
  <c r="DQ14" i="11"/>
  <c r="DJ14" i="11"/>
  <c r="DG14" i="11"/>
  <c r="CZ14" i="11"/>
  <c r="CW14" i="11"/>
  <c r="CP14" i="11"/>
  <c r="CM14" i="11"/>
  <c r="CF14" i="11"/>
  <c r="CC14" i="11"/>
  <c r="BV14" i="11"/>
  <c r="BS14" i="11"/>
  <c r="BL14" i="11"/>
  <c r="BI14" i="11"/>
  <c r="BB14" i="11"/>
  <c r="AY14" i="11"/>
  <c r="FH13" i="11"/>
  <c r="FE13" i="11"/>
  <c r="EX13" i="11"/>
  <c r="EU13" i="11"/>
  <c r="EN13" i="11"/>
  <c r="EK13" i="11"/>
  <c r="ED13" i="11"/>
  <c r="EA13" i="11"/>
  <c r="DT13" i="11"/>
  <c r="DQ13" i="11"/>
  <c r="CZ13" i="11"/>
  <c r="CW13" i="11"/>
  <c r="CP13" i="11"/>
  <c r="CF13" i="11"/>
  <c r="CC13" i="11"/>
  <c r="BV13" i="11"/>
  <c r="BS13" i="11"/>
  <c r="BL13" i="11"/>
  <c r="BI13" i="11"/>
  <c r="BB13" i="11"/>
  <c r="AY13" i="11"/>
  <c r="FH12" i="11"/>
  <c r="FE12" i="11"/>
  <c r="EX12" i="11"/>
  <c r="EU12" i="11"/>
  <c r="EN12" i="11"/>
  <c r="EK12" i="11"/>
  <c r="ED12" i="11"/>
  <c r="EA12" i="11"/>
  <c r="DT12" i="11"/>
  <c r="DQ12" i="11"/>
  <c r="DJ12" i="11"/>
  <c r="DG12" i="11"/>
  <c r="CZ12" i="11"/>
  <c r="CW12" i="11"/>
  <c r="CM12" i="11"/>
  <c r="CF12" i="11"/>
  <c r="CC12" i="11"/>
  <c r="BV12" i="11"/>
  <c r="BS12" i="11"/>
  <c r="BI12" i="11"/>
  <c r="BB12" i="11"/>
  <c r="AY12" i="11"/>
  <c r="FH11" i="11"/>
  <c r="FE11" i="11"/>
  <c r="EX11" i="11"/>
  <c r="EU11" i="11"/>
  <c r="EN11" i="11"/>
  <c r="EK11" i="11"/>
  <c r="ED11" i="11"/>
  <c r="EA11" i="11"/>
  <c r="DT11" i="11"/>
  <c r="DQ11" i="11"/>
  <c r="DJ11" i="11"/>
  <c r="DG11" i="11"/>
  <c r="CZ11" i="11"/>
  <c r="CW11" i="11"/>
  <c r="CP11" i="11"/>
  <c r="CM11" i="11"/>
  <c r="CF11" i="11"/>
  <c r="CC11" i="11"/>
  <c r="BV11" i="11"/>
  <c r="BS11" i="11"/>
  <c r="BL11" i="11"/>
  <c r="BI11" i="11"/>
  <c r="BB11" i="11"/>
  <c r="AY11" i="11"/>
  <c r="FH10" i="11"/>
  <c r="FE10" i="11"/>
  <c r="EX10" i="11"/>
  <c r="EU10" i="11"/>
  <c r="EN10" i="11"/>
  <c r="EK10" i="11"/>
  <c r="ED10" i="11"/>
  <c r="EA10" i="11"/>
  <c r="DT10" i="11"/>
  <c r="DQ10" i="11"/>
  <c r="DJ10" i="11"/>
  <c r="DG10" i="11"/>
  <c r="CZ10" i="11"/>
  <c r="CW10" i="11"/>
  <c r="CP10" i="11"/>
  <c r="CM10" i="11"/>
  <c r="CF10" i="11"/>
  <c r="BV10" i="11"/>
  <c r="BS10" i="11"/>
  <c r="BI10" i="11"/>
  <c r="BB10" i="11"/>
  <c r="AI26" i="11" l="1"/>
  <c r="AK26" i="11" s="1"/>
  <c r="AI19" i="11"/>
  <c r="AI24" i="11"/>
  <c r="F114" i="16" s="1"/>
  <c r="L114" i="16" s="1"/>
  <c r="I95" i="17"/>
  <c r="AH16" i="11"/>
  <c r="AH27" i="11"/>
  <c r="AH13" i="11"/>
  <c r="AI16" i="11"/>
  <c r="AI27" i="11"/>
  <c r="AH12" i="11"/>
  <c r="AK24" i="11"/>
  <c r="AH24" i="11"/>
  <c r="AH19" i="11"/>
  <c r="AI13" i="11"/>
  <c r="E152" i="17"/>
  <c r="U52" i="16"/>
  <c r="U62" i="16" s="1"/>
  <c r="U51" i="16"/>
  <c r="U61" i="16" s="1"/>
  <c r="U50" i="16"/>
  <c r="U53" i="16"/>
  <c r="U63" i="16" s="1"/>
  <c r="T53" i="16"/>
  <c r="T63" i="16" s="1"/>
  <c r="T51" i="16"/>
  <c r="T61" i="16" s="1"/>
  <c r="T52" i="16"/>
  <c r="T62" i="16" s="1"/>
  <c r="T50" i="16"/>
  <c r="V45" i="16"/>
  <c r="V44" i="16"/>
  <c r="V43" i="16"/>
  <c r="V42" i="16"/>
  <c r="V46" i="16" s="1"/>
  <c r="V37" i="16"/>
  <c r="V36" i="16"/>
  <c r="V35" i="16"/>
  <c r="V34" i="16"/>
  <c r="V27" i="16"/>
  <c r="V28" i="16"/>
  <c r="V29" i="16"/>
  <c r="V26" i="16"/>
  <c r="V30" i="16" s="1"/>
  <c r="AN10" i="13"/>
  <c r="I60" i="17" s="1"/>
  <c r="T27" i="16"/>
  <c r="T42" i="16"/>
  <c r="T45" i="16"/>
  <c r="T37" i="16"/>
  <c r="T28" i="16"/>
  <c r="T34" i="16"/>
  <c r="T44" i="16"/>
  <c r="T36" i="16"/>
  <c r="T29" i="16"/>
  <c r="T43" i="16"/>
  <c r="T35" i="16"/>
  <c r="T26" i="16"/>
  <c r="I116" i="17"/>
  <c r="I117" i="17"/>
  <c r="I115" i="17"/>
  <c r="I114" i="17"/>
  <c r="K117" i="17"/>
  <c r="K115" i="17"/>
  <c r="K116" i="17"/>
  <c r="K114" i="17"/>
  <c r="I129" i="17"/>
  <c r="I130" i="17"/>
  <c r="I131" i="17"/>
  <c r="I128" i="17"/>
  <c r="I121" i="17"/>
  <c r="I122" i="17"/>
  <c r="I123" i="17"/>
  <c r="I124" i="17"/>
  <c r="J121" i="17"/>
  <c r="J122" i="17"/>
  <c r="J123" i="17"/>
  <c r="J124" i="17"/>
  <c r="J130" i="17"/>
  <c r="J128" i="17"/>
  <c r="J129" i="17"/>
  <c r="J131" i="17"/>
  <c r="U42" i="16"/>
  <c r="U35" i="16"/>
  <c r="U28" i="16"/>
  <c r="U45" i="16"/>
  <c r="U43" i="16"/>
  <c r="U36" i="16"/>
  <c r="U26" i="16"/>
  <c r="U37" i="16"/>
  <c r="U27" i="16"/>
  <c r="U29" i="16"/>
  <c r="U34" i="16"/>
  <c r="U44" i="16"/>
  <c r="AH28" i="11"/>
  <c r="K28" i="11"/>
  <c r="W12" i="11"/>
  <c r="AK20" i="11"/>
  <c r="AH10" i="11"/>
  <c r="AH18" i="11"/>
  <c r="G12" i="11"/>
  <c r="I28" i="11"/>
  <c r="AI18" i="11"/>
  <c r="AI17" i="11"/>
  <c r="AI28" i="11"/>
  <c r="AH15" i="11"/>
  <c r="AI14" i="11"/>
  <c r="AI15" i="11"/>
  <c r="AH25" i="11"/>
  <c r="AH23" i="11"/>
  <c r="W24" i="11"/>
  <c r="AI25" i="11"/>
  <c r="AH17" i="11"/>
  <c r="AH11" i="11"/>
  <c r="AH22" i="11"/>
  <c r="AI23" i="11"/>
  <c r="AH14" i="11"/>
  <c r="AI11" i="11"/>
  <c r="AI12" i="11"/>
  <c r="AH21" i="11"/>
  <c r="AI22" i="11"/>
  <c r="AI10" i="11"/>
  <c r="AJ20" i="11"/>
  <c r="AI21" i="11"/>
  <c r="I22" i="11"/>
  <c r="W10" i="11"/>
  <c r="W18" i="11"/>
  <c r="X20" i="11"/>
  <c r="W15" i="11"/>
  <c r="G18" i="11"/>
  <c r="X15" i="11"/>
  <c r="W11" i="11"/>
  <c r="F26" i="11"/>
  <c r="R10" i="11"/>
  <c r="Y10" i="11" s="1" a="1"/>
  <c r="Y10" i="11" s="1"/>
  <c r="W21" i="11"/>
  <c r="F29" i="12"/>
  <c r="AN16" i="14"/>
  <c r="I85" i="17" s="1"/>
  <c r="AN13" i="14"/>
  <c r="I82" i="17" s="1"/>
  <c r="I92" i="17"/>
  <c r="AN10" i="15"/>
  <c r="I96" i="17" s="1"/>
  <c r="J5" i="16"/>
  <c r="AH6" i="16"/>
  <c r="AH7" i="16"/>
  <c r="AH8" i="16"/>
  <c r="J8" i="16"/>
  <c r="AH5" i="16"/>
  <c r="J6" i="16"/>
  <c r="J7" i="16"/>
  <c r="F27" i="11"/>
  <c r="X27" i="11"/>
  <c r="I5" i="16"/>
  <c r="AN10" i="14"/>
  <c r="I79" i="17" s="1"/>
  <c r="W31" i="12"/>
  <c r="Z31" i="12" s="1"/>
  <c r="AN31" i="12" s="1"/>
  <c r="W19" i="11"/>
  <c r="F23" i="11"/>
  <c r="G13" i="11"/>
  <c r="K16" i="11"/>
  <c r="H14" i="11"/>
  <c r="G23" i="11"/>
  <c r="J12" i="11"/>
  <c r="F13" i="11"/>
  <c r="J13" i="11"/>
  <c r="I12" i="11"/>
  <c r="F12" i="11"/>
  <c r="K12" i="11"/>
  <c r="K13" i="11"/>
  <c r="M11" i="12"/>
  <c r="M17" i="12"/>
  <c r="X30" i="12"/>
  <c r="W29" i="12"/>
  <c r="W30" i="12"/>
  <c r="Z30" i="12" s="1"/>
  <c r="AN30" i="12" s="1"/>
  <c r="H12" i="11"/>
  <c r="L13" i="11"/>
  <c r="L14" i="11"/>
  <c r="H15" i="11"/>
  <c r="H16" i="11"/>
  <c r="L16" i="11"/>
  <c r="H17" i="11"/>
  <c r="L17" i="11"/>
  <c r="I23" i="11"/>
  <c r="I24" i="11"/>
  <c r="M24" i="11"/>
  <c r="I25" i="11"/>
  <c r="F28" i="11"/>
  <c r="I10" i="11"/>
  <c r="I11" i="11"/>
  <c r="F19" i="11"/>
  <c r="J19" i="11"/>
  <c r="F20" i="11"/>
  <c r="F21" i="11"/>
  <c r="J21" i="11"/>
  <c r="F22" i="11"/>
  <c r="G26" i="11"/>
  <c r="F10" i="11"/>
  <c r="F11" i="11"/>
  <c r="J11" i="11"/>
  <c r="G19" i="11"/>
  <c r="K19" i="11"/>
  <c r="G20" i="11"/>
  <c r="G21" i="11"/>
  <c r="K21" i="11"/>
  <c r="G22" i="11"/>
  <c r="H26" i="11"/>
  <c r="H10" i="11"/>
  <c r="H11" i="11"/>
  <c r="L11" i="11"/>
  <c r="I18" i="11"/>
  <c r="I19" i="11"/>
  <c r="I20" i="11"/>
  <c r="I21" i="11"/>
  <c r="I14" i="11"/>
  <c r="I15" i="11"/>
  <c r="I17" i="11"/>
  <c r="J22" i="11"/>
  <c r="F24" i="11"/>
  <c r="J24" i="11"/>
  <c r="F25" i="11"/>
  <c r="J25" i="11"/>
  <c r="AF7" i="16"/>
  <c r="AF5" i="16"/>
  <c r="AF8" i="16"/>
  <c r="AF6" i="16"/>
  <c r="T5" i="16"/>
  <c r="T8" i="16"/>
  <c r="T7" i="16"/>
  <c r="T6" i="16"/>
  <c r="AG7" i="16"/>
  <c r="AG5" i="16"/>
  <c r="AG8" i="16"/>
  <c r="AG6" i="16"/>
  <c r="U8" i="16"/>
  <c r="U7" i="16"/>
  <c r="U6" i="16"/>
  <c r="U5" i="16"/>
  <c r="M19" i="12"/>
  <c r="M22" i="12"/>
  <c r="G14" i="11"/>
  <c r="K14" i="11"/>
  <c r="G15" i="11"/>
  <c r="G16" i="11"/>
  <c r="G17" i="11"/>
  <c r="K17" i="11"/>
  <c r="H23" i="11"/>
  <c r="H24" i="11"/>
  <c r="L24" i="11"/>
  <c r="H25" i="11"/>
  <c r="G10" i="11"/>
  <c r="G11" i="11"/>
  <c r="K11" i="11"/>
  <c r="H18" i="11"/>
  <c r="H19" i="11"/>
  <c r="L19" i="11"/>
  <c r="H20" i="11"/>
  <c r="H21" i="11"/>
  <c r="H22" i="11"/>
  <c r="I26" i="11"/>
  <c r="J28" i="11"/>
  <c r="N16" i="12"/>
  <c r="N17" i="12"/>
  <c r="X29" i="12"/>
  <c r="G28" i="11"/>
  <c r="F14" i="11"/>
  <c r="J14" i="11"/>
  <c r="F15" i="11"/>
  <c r="J15" i="11"/>
  <c r="F16" i="11"/>
  <c r="F17" i="11"/>
  <c r="J17" i="11"/>
  <c r="F18" i="11"/>
  <c r="K22" i="11"/>
  <c r="G24" i="11"/>
  <c r="K24" i="11"/>
  <c r="G25" i="11"/>
  <c r="H28" i="11"/>
  <c r="I6" i="16"/>
  <c r="R31" i="12"/>
  <c r="Y31" i="12" s="1" a="1"/>
  <c r="Y31" i="12" s="1"/>
  <c r="R30" i="12"/>
  <c r="Y30" i="12" s="1" a="1"/>
  <c r="Y30" i="12" s="1"/>
  <c r="R29" i="12"/>
  <c r="Y29" i="12" s="1" a="1"/>
  <c r="Y29" i="12" s="1"/>
  <c r="X31" i="12"/>
  <c r="I8" i="16"/>
  <c r="I7" i="16"/>
  <c r="H5" i="16"/>
  <c r="H6" i="16"/>
  <c r="H7" i="16"/>
  <c r="H8" i="16"/>
  <c r="X19" i="11"/>
  <c r="X11" i="11"/>
  <c r="X23" i="11"/>
  <c r="W27" i="11"/>
  <c r="W31" i="11"/>
  <c r="Z31" i="11" s="1"/>
  <c r="AN31" i="11" s="1"/>
  <c r="X12" i="11"/>
  <c r="X17" i="11"/>
  <c r="X18" i="11"/>
  <c r="X31" i="11"/>
  <c r="X10" i="11"/>
  <c r="X24" i="11"/>
  <c r="X26" i="11"/>
  <c r="X25" i="11"/>
  <c r="X28" i="11"/>
  <c r="X29" i="11"/>
  <c r="X30" i="11"/>
  <c r="W28" i="11"/>
  <c r="W13" i="11"/>
  <c r="W23" i="11"/>
  <c r="W29" i="11"/>
  <c r="Z29" i="11" s="1"/>
  <c r="AN29" i="11" s="1"/>
  <c r="R11" i="11"/>
  <c r="Y11" i="11" s="1" a="1"/>
  <c r="Y11" i="11" s="1"/>
  <c r="X13" i="11"/>
  <c r="W26" i="11"/>
  <c r="R31" i="11"/>
  <c r="Y31" i="11" s="1" a="1"/>
  <c r="Y31" i="11" s="1"/>
  <c r="X22" i="11"/>
  <c r="R12" i="11"/>
  <c r="Y12" i="11" s="1" a="1"/>
  <c r="Y12" i="11" s="1"/>
  <c r="W14" i="11"/>
  <c r="W16" i="11"/>
  <c r="R23" i="11"/>
  <c r="Y23" i="11" s="1" a="1"/>
  <c r="Y23" i="11" s="1"/>
  <c r="X14" i="11"/>
  <c r="X16" i="11"/>
  <c r="W20" i="11"/>
  <c r="W25" i="11"/>
  <c r="R28" i="11"/>
  <c r="Y28" i="11" s="1" a="1"/>
  <c r="Y28" i="11" s="1"/>
  <c r="W30" i="11"/>
  <c r="Z30" i="11" s="1"/>
  <c r="AN30" i="11" s="1"/>
  <c r="R21" i="11"/>
  <c r="Y21" i="11" s="1" a="1"/>
  <c r="Y21" i="11" s="1"/>
  <c r="R18" i="11"/>
  <c r="Y18" i="11" s="1" a="1"/>
  <c r="Y18" i="11" s="1"/>
  <c r="R19" i="11"/>
  <c r="Y19" i="11" s="1" a="1"/>
  <c r="Y19" i="11" s="1"/>
  <c r="R22" i="11"/>
  <c r="Y22" i="11" s="1" a="1"/>
  <c r="Y22" i="11" s="1"/>
  <c r="R26" i="11"/>
  <c r="R30" i="11"/>
  <c r="Y30" i="11" s="1" a="1"/>
  <c r="Y30" i="11" s="1"/>
  <c r="R15" i="11"/>
  <c r="Y15" i="11" s="1" a="1"/>
  <c r="Y15" i="11" s="1"/>
  <c r="R20" i="11"/>
  <c r="Y20" i="11" s="1" a="1"/>
  <c r="Y20" i="11" s="1"/>
  <c r="X21" i="11"/>
  <c r="W22" i="11"/>
  <c r="R24" i="11"/>
  <c r="Y24" i="11" s="1" a="1"/>
  <c r="Y24" i="11" s="1"/>
  <c r="R25" i="11"/>
  <c r="Y25" i="11" s="1" a="1"/>
  <c r="Y25" i="11" s="1"/>
  <c r="R29" i="11"/>
  <c r="Y29" i="11" s="1" a="1"/>
  <c r="Y29" i="11" s="1"/>
  <c r="R13" i="11"/>
  <c r="Y13" i="11" s="1" a="1"/>
  <c r="Y13" i="11" s="1"/>
  <c r="R27" i="11"/>
  <c r="Y27" i="11" s="1" a="1"/>
  <c r="Y27" i="11" s="1"/>
  <c r="R17" i="11"/>
  <c r="Y17" i="11" s="1" a="1"/>
  <c r="Y17" i="11" s="1"/>
  <c r="W17" i="11"/>
  <c r="R16" i="11"/>
  <c r="Y16" i="11" s="1" a="1"/>
  <c r="Y16" i="11" s="1"/>
  <c r="R14" i="11"/>
  <c r="Y14" i="11" s="1" a="1"/>
  <c r="Y14" i="11" s="1"/>
  <c r="FH31" i="10"/>
  <c r="FE31" i="10"/>
  <c r="EX31" i="10"/>
  <c r="EU31" i="10"/>
  <c r="EN31" i="10"/>
  <c r="EK31" i="10"/>
  <c r="ED31" i="10"/>
  <c r="EA31" i="10"/>
  <c r="DT31" i="10"/>
  <c r="DQ31" i="10"/>
  <c r="DJ31" i="10"/>
  <c r="DG31" i="10"/>
  <c r="CZ31" i="10"/>
  <c r="CW31" i="10"/>
  <c r="CP31" i="10"/>
  <c r="CM31" i="10"/>
  <c r="CF31" i="10"/>
  <c r="CC31" i="10"/>
  <c r="BV31" i="10"/>
  <c r="BS31" i="10"/>
  <c r="BL31" i="10"/>
  <c r="BI31" i="10"/>
  <c r="BB31" i="10"/>
  <c r="AY31" i="10"/>
  <c r="FH30" i="10"/>
  <c r="FE30" i="10"/>
  <c r="EX30" i="10"/>
  <c r="EU30" i="10"/>
  <c r="EN30" i="10"/>
  <c r="EK30" i="10"/>
  <c r="ED30" i="10"/>
  <c r="EA30" i="10"/>
  <c r="DT30" i="10"/>
  <c r="DQ30" i="10"/>
  <c r="DJ30" i="10"/>
  <c r="DG30" i="10"/>
  <c r="CZ30" i="10"/>
  <c r="CW30" i="10"/>
  <c r="CP30" i="10"/>
  <c r="CM30" i="10"/>
  <c r="CF30" i="10"/>
  <c r="CC30" i="10"/>
  <c r="BV30" i="10"/>
  <c r="BS30" i="10"/>
  <c r="BL30" i="10"/>
  <c r="BI30" i="10"/>
  <c r="BB30" i="10"/>
  <c r="AY30" i="10"/>
  <c r="FH29" i="10"/>
  <c r="FE29" i="10"/>
  <c r="EX29" i="10"/>
  <c r="EU29" i="10"/>
  <c r="EN29" i="10"/>
  <c r="EK29" i="10"/>
  <c r="ED29" i="10"/>
  <c r="EA29" i="10"/>
  <c r="DT29" i="10"/>
  <c r="DQ29" i="10"/>
  <c r="DJ29" i="10"/>
  <c r="DG29" i="10"/>
  <c r="CZ29" i="10"/>
  <c r="CW29" i="10"/>
  <c r="CP29" i="10"/>
  <c r="CM29" i="10"/>
  <c r="CF29" i="10"/>
  <c r="CC29" i="10"/>
  <c r="BV29" i="10"/>
  <c r="BS29" i="10"/>
  <c r="BL29" i="10"/>
  <c r="BI29" i="10"/>
  <c r="BB29" i="10"/>
  <c r="AY29" i="10"/>
  <c r="FH28" i="10"/>
  <c r="FE28" i="10"/>
  <c r="EX28" i="10"/>
  <c r="EU28" i="10"/>
  <c r="EN28" i="10"/>
  <c r="EK28" i="10"/>
  <c r="ED28" i="10"/>
  <c r="EA28" i="10"/>
  <c r="DT28" i="10"/>
  <c r="DQ28" i="10"/>
  <c r="DJ28" i="10"/>
  <c r="DG28" i="10"/>
  <c r="CZ28" i="10"/>
  <c r="CW28" i="10"/>
  <c r="CP28" i="10"/>
  <c r="CM28" i="10"/>
  <c r="CF28" i="10"/>
  <c r="CC28" i="10"/>
  <c r="BV28" i="10"/>
  <c r="BS28" i="10"/>
  <c r="BL28" i="10"/>
  <c r="BI28" i="10"/>
  <c r="BB28" i="10"/>
  <c r="AY28" i="10"/>
  <c r="FH27" i="10"/>
  <c r="FE27" i="10"/>
  <c r="EX27" i="10"/>
  <c r="EU27" i="10"/>
  <c r="EN27" i="10"/>
  <c r="EK27" i="10"/>
  <c r="ED27" i="10"/>
  <c r="EA27" i="10"/>
  <c r="DT27" i="10"/>
  <c r="DQ27" i="10"/>
  <c r="DJ27" i="10"/>
  <c r="DG27" i="10"/>
  <c r="CZ27" i="10"/>
  <c r="CW27" i="10"/>
  <c r="CP27" i="10"/>
  <c r="CM27" i="10"/>
  <c r="CC27" i="10"/>
  <c r="BV27" i="10"/>
  <c r="BS27" i="10"/>
  <c r="BL27" i="10"/>
  <c r="BI27" i="10"/>
  <c r="BB27" i="10"/>
  <c r="AY27" i="10"/>
  <c r="FH26" i="10"/>
  <c r="FE26" i="10"/>
  <c r="EX26" i="10"/>
  <c r="EU26" i="10"/>
  <c r="EN26" i="10"/>
  <c r="EK26" i="10"/>
  <c r="ED26" i="10"/>
  <c r="EA26" i="10"/>
  <c r="DT26" i="10"/>
  <c r="DQ26" i="10"/>
  <c r="DJ26" i="10"/>
  <c r="DG26" i="10"/>
  <c r="CZ26" i="10"/>
  <c r="CW26" i="10"/>
  <c r="CP26" i="10"/>
  <c r="CM26" i="10"/>
  <c r="CF26" i="10"/>
  <c r="CC26" i="10"/>
  <c r="BV26" i="10"/>
  <c r="BS26" i="10"/>
  <c r="BL26" i="10"/>
  <c r="BI26" i="10"/>
  <c r="BB26" i="10"/>
  <c r="AY26" i="10"/>
  <c r="FH25" i="10"/>
  <c r="FE25" i="10"/>
  <c r="EX25" i="10"/>
  <c r="EU25" i="10"/>
  <c r="EN25" i="10"/>
  <c r="EK25" i="10"/>
  <c r="ED25" i="10"/>
  <c r="EA25" i="10"/>
  <c r="DT25" i="10"/>
  <c r="DQ25" i="10"/>
  <c r="DJ25" i="10"/>
  <c r="DG25" i="10"/>
  <c r="CZ25" i="10"/>
  <c r="CW25" i="10"/>
  <c r="CP25" i="10"/>
  <c r="CM25" i="10"/>
  <c r="CF25" i="10"/>
  <c r="CC25" i="10"/>
  <c r="BV25" i="10"/>
  <c r="BS25" i="10"/>
  <c r="BL25" i="10"/>
  <c r="BI25" i="10"/>
  <c r="BB25" i="10"/>
  <c r="AY25" i="10"/>
  <c r="FH24" i="10"/>
  <c r="FE24" i="10"/>
  <c r="EX24" i="10"/>
  <c r="EU24" i="10"/>
  <c r="EN24" i="10"/>
  <c r="EK24" i="10"/>
  <c r="ED24" i="10"/>
  <c r="EA24" i="10"/>
  <c r="DT24" i="10"/>
  <c r="DQ24" i="10"/>
  <c r="DJ24" i="10"/>
  <c r="DG24" i="10"/>
  <c r="CZ24" i="10"/>
  <c r="CW24" i="10"/>
  <c r="CP24" i="10"/>
  <c r="CM24" i="10"/>
  <c r="CF24" i="10"/>
  <c r="CC24" i="10"/>
  <c r="BV24" i="10"/>
  <c r="BS24" i="10"/>
  <c r="BL24" i="10"/>
  <c r="BI24" i="10"/>
  <c r="BB24" i="10"/>
  <c r="AY24" i="10"/>
  <c r="FH23" i="10"/>
  <c r="FE23" i="10"/>
  <c r="EX23" i="10"/>
  <c r="EU23" i="10"/>
  <c r="EN23" i="10"/>
  <c r="EK23" i="10"/>
  <c r="ED23" i="10"/>
  <c r="EA23" i="10"/>
  <c r="DT23" i="10"/>
  <c r="DQ23" i="10"/>
  <c r="DJ23" i="10"/>
  <c r="DG23" i="10"/>
  <c r="CZ23" i="10"/>
  <c r="CW23" i="10"/>
  <c r="CP23" i="10"/>
  <c r="CF23" i="10"/>
  <c r="CC23" i="10"/>
  <c r="BV23" i="10"/>
  <c r="BS23" i="10"/>
  <c r="BL23" i="10"/>
  <c r="BI23" i="10"/>
  <c r="AY23" i="10"/>
  <c r="FH22" i="10"/>
  <c r="FE22" i="10"/>
  <c r="EX22" i="10"/>
  <c r="EU22" i="10"/>
  <c r="EN22" i="10"/>
  <c r="EK22" i="10"/>
  <c r="ED22" i="10"/>
  <c r="EA22" i="10"/>
  <c r="DT22" i="10"/>
  <c r="DQ22" i="10"/>
  <c r="DJ22" i="10"/>
  <c r="DG22" i="10"/>
  <c r="CZ22" i="10"/>
  <c r="CW22" i="10"/>
  <c r="CP22" i="10"/>
  <c r="CM22" i="10"/>
  <c r="CF22" i="10"/>
  <c r="CC22" i="10"/>
  <c r="BV22" i="10"/>
  <c r="BS22" i="10"/>
  <c r="BL22" i="10"/>
  <c r="BI22" i="10"/>
  <c r="BB22" i="10"/>
  <c r="AY22" i="10"/>
  <c r="FH21" i="10"/>
  <c r="FE21" i="10"/>
  <c r="EX21" i="10"/>
  <c r="EU21" i="10"/>
  <c r="EN21" i="10"/>
  <c r="EK21" i="10"/>
  <c r="ED21" i="10"/>
  <c r="EA21" i="10"/>
  <c r="DT21" i="10"/>
  <c r="DQ21" i="10"/>
  <c r="DJ21" i="10"/>
  <c r="DG21" i="10"/>
  <c r="CZ21" i="10"/>
  <c r="CW21" i="10"/>
  <c r="CP21" i="10"/>
  <c r="CM21" i="10"/>
  <c r="CF21" i="10"/>
  <c r="CC21" i="10"/>
  <c r="BV21" i="10"/>
  <c r="BS21" i="10"/>
  <c r="BL21" i="10"/>
  <c r="BI21" i="10"/>
  <c r="BB21" i="10"/>
  <c r="AY21" i="10"/>
  <c r="FH20" i="10"/>
  <c r="FE20" i="10"/>
  <c r="EX20" i="10"/>
  <c r="EU20" i="10"/>
  <c r="EN20" i="10"/>
  <c r="EK20" i="10"/>
  <c r="ED20" i="10"/>
  <c r="EA20" i="10"/>
  <c r="DT20" i="10"/>
  <c r="DQ20" i="10"/>
  <c r="DJ20" i="10"/>
  <c r="DG20" i="10"/>
  <c r="CZ20" i="10"/>
  <c r="CW20" i="10"/>
  <c r="CP20" i="10"/>
  <c r="CM20" i="10"/>
  <c r="CF20" i="10"/>
  <c r="CC20" i="10"/>
  <c r="BV20" i="10"/>
  <c r="BS20" i="10"/>
  <c r="BL20" i="10"/>
  <c r="BI20" i="10"/>
  <c r="BB20" i="10"/>
  <c r="AY20" i="10"/>
  <c r="FH19" i="10"/>
  <c r="FE19" i="10"/>
  <c r="EX19" i="10"/>
  <c r="EU19" i="10"/>
  <c r="EN19" i="10"/>
  <c r="EK19" i="10"/>
  <c r="ED19" i="10"/>
  <c r="EA19" i="10"/>
  <c r="DT19" i="10"/>
  <c r="DQ19" i="10"/>
  <c r="DJ19" i="10"/>
  <c r="DG19" i="10"/>
  <c r="CZ19" i="10"/>
  <c r="CW19" i="10"/>
  <c r="CP19" i="10"/>
  <c r="CM19" i="10"/>
  <c r="CF19" i="10"/>
  <c r="CC19" i="10"/>
  <c r="BV19" i="10"/>
  <c r="BS19" i="10"/>
  <c r="BL19" i="10"/>
  <c r="BI19" i="10"/>
  <c r="BB19" i="10"/>
  <c r="AY19" i="10"/>
  <c r="FH18" i="10"/>
  <c r="FE18" i="10"/>
  <c r="EX18" i="10"/>
  <c r="EU18" i="10"/>
  <c r="EN18" i="10"/>
  <c r="EK18" i="10"/>
  <c r="ED18" i="10"/>
  <c r="EA18" i="10"/>
  <c r="DT18" i="10"/>
  <c r="DQ18" i="10"/>
  <c r="DJ18" i="10"/>
  <c r="DG18" i="10"/>
  <c r="CZ18" i="10"/>
  <c r="CW18" i="10"/>
  <c r="CP18" i="10"/>
  <c r="CM18" i="10"/>
  <c r="CF18" i="10"/>
  <c r="CC18" i="10"/>
  <c r="BV18" i="10"/>
  <c r="BS18" i="10"/>
  <c r="BL18" i="10"/>
  <c r="BI18" i="10"/>
  <c r="BB18" i="10"/>
  <c r="AY18" i="10"/>
  <c r="FH17" i="10"/>
  <c r="FE17" i="10"/>
  <c r="EX17" i="10"/>
  <c r="EU17" i="10"/>
  <c r="EN17" i="10"/>
  <c r="EK17" i="10"/>
  <c r="ED17" i="10"/>
  <c r="EA17" i="10"/>
  <c r="DT17" i="10"/>
  <c r="DQ17" i="10"/>
  <c r="DJ17" i="10"/>
  <c r="DG17" i="10"/>
  <c r="CZ17" i="10"/>
  <c r="CW17" i="10"/>
  <c r="CP17" i="10"/>
  <c r="CM17" i="10"/>
  <c r="CF17" i="10"/>
  <c r="CC17" i="10"/>
  <c r="BV17" i="10"/>
  <c r="BS17" i="10"/>
  <c r="BL17" i="10"/>
  <c r="BI17" i="10"/>
  <c r="BB17" i="10"/>
  <c r="AY17" i="10"/>
  <c r="FH16" i="10"/>
  <c r="FE16" i="10"/>
  <c r="EX16" i="10"/>
  <c r="EU16" i="10"/>
  <c r="EN16" i="10"/>
  <c r="EK16" i="10"/>
  <c r="ED16" i="10"/>
  <c r="EA16" i="10"/>
  <c r="DT16" i="10"/>
  <c r="DQ16" i="10"/>
  <c r="DJ16" i="10"/>
  <c r="DG16" i="10"/>
  <c r="CZ16" i="10"/>
  <c r="CW16" i="10"/>
  <c r="CP16" i="10"/>
  <c r="CM16" i="10"/>
  <c r="CF16" i="10"/>
  <c r="CC16" i="10"/>
  <c r="BV16" i="10"/>
  <c r="BS16" i="10"/>
  <c r="BL16" i="10"/>
  <c r="BI16" i="10"/>
  <c r="BB16" i="10"/>
  <c r="AY16" i="10"/>
  <c r="FH15" i="10"/>
  <c r="FE15" i="10"/>
  <c r="EX15" i="10"/>
  <c r="EU15" i="10"/>
  <c r="EN15" i="10"/>
  <c r="EK15" i="10"/>
  <c r="ED15" i="10"/>
  <c r="EA15" i="10"/>
  <c r="DT15" i="10"/>
  <c r="DQ15" i="10"/>
  <c r="DJ15" i="10"/>
  <c r="DG15" i="10"/>
  <c r="CZ15" i="10"/>
  <c r="CW15" i="10"/>
  <c r="CP15" i="10"/>
  <c r="CM15" i="10"/>
  <c r="CF15" i="10"/>
  <c r="CC15" i="10"/>
  <c r="BV15" i="10"/>
  <c r="BS15" i="10"/>
  <c r="BL15" i="10"/>
  <c r="BI15" i="10"/>
  <c r="BB15" i="10"/>
  <c r="AY15" i="10"/>
  <c r="FH14" i="10"/>
  <c r="FE14" i="10"/>
  <c r="EX14" i="10"/>
  <c r="EU14" i="10"/>
  <c r="EN14" i="10"/>
  <c r="EK14" i="10"/>
  <c r="ED14" i="10"/>
  <c r="EA14" i="10"/>
  <c r="DT14" i="10"/>
  <c r="DQ14" i="10"/>
  <c r="DJ14" i="10"/>
  <c r="DG14" i="10"/>
  <c r="CZ14" i="10"/>
  <c r="CW14" i="10"/>
  <c r="CP14" i="10"/>
  <c r="CM14" i="10"/>
  <c r="CF14" i="10"/>
  <c r="CC14" i="10"/>
  <c r="BV14" i="10"/>
  <c r="BS14" i="10"/>
  <c r="BL14" i="10"/>
  <c r="BI14" i="10"/>
  <c r="BB14" i="10"/>
  <c r="AY14" i="10"/>
  <c r="FH13" i="10"/>
  <c r="FE13" i="10"/>
  <c r="EX13" i="10"/>
  <c r="EU13" i="10"/>
  <c r="EN13" i="10"/>
  <c r="EK13" i="10"/>
  <c r="ED13" i="10"/>
  <c r="EA13" i="10"/>
  <c r="DT13" i="10"/>
  <c r="DQ13" i="10"/>
  <c r="M13" i="10" s="1"/>
  <c r="DJ13" i="10"/>
  <c r="DG13" i="10"/>
  <c r="CZ13" i="10"/>
  <c r="CW13" i="10"/>
  <c r="CP13" i="10"/>
  <c r="CM13" i="10"/>
  <c r="CF13" i="10"/>
  <c r="CC13" i="10"/>
  <c r="BV13" i="10"/>
  <c r="BS13" i="10"/>
  <c r="BL13" i="10"/>
  <c r="BI13" i="10"/>
  <c r="BB13" i="10"/>
  <c r="AY13" i="10"/>
  <c r="FH12" i="10"/>
  <c r="FE12" i="10"/>
  <c r="EX12" i="10"/>
  <c r="EU12" i="10"/>
  <c r="EN12" i="10"/>
  <c r="EK12" i="10"/>
  <c r="ED12" i="10"/>
  <c r="EA12" i="10"/>
  <c r="DT12" i="10"/>
  <c r="DQ12" i="10"/>
  <c r="DJ12" i="10"/>
  <c r="DG12" i="10"/>
  <c r="CZ12" i="10"/>
  <c r="CW12" i="10"/>
  <c r="CP12" i="10"/>
  <c r="CM12" i="10"/>
  <c r="CF12" i="10"/>
  <c r="CC12" i="10"/>
  <c r="BV12" i="10"/>
  <c r="BS12" i="10"/>
  <c r="BL12" i="10"/>
  <c r="BI12" i="10"/>
  <c r="BB12" i="10"/>
  <c r="AY12" i="10"/>
  <c r="FH11" i="10"/>
  <c r="FE11" i="10"/>
  <c r="EX11" i="10"/>
  <c r="EU11" i="10"/>
  <c r="EN11" i="10"/>
  <c r="EK11" i="10"/>
  <c r="ED11" i="10"/>
  <c r="EA11" i="10"/>
  <c r="DT11" i="10"/>
  <c r="DQ11" i="10"/>
  <c r="DJ11" i="10"/>
  <c r="DG11" i="10"/>
  <c r="CZ11" i="10"/>
  <c r="CW11" i="10"/>
  <c r="CP11" i="10"/>
  <c r="CM11" i="10"/>
  <c r="CF11" i="10"/>
  <c r="CC11" i="10"/>
  <c r="BV11" i="10"/>
  <c r="BS11" i="10"/>
  <c r="BL11" i="10"/>
  <c r="BI11" i="10"/>
  <c r="BB11" i="10"/>
  <c r="AY11" i="10"/>
  <c r="FH10" i="10"/>
  <c r="FE10" i="10"/>
  <c r="EX10" i="10"/>
  <c r="EU10" i="10"/>
  <c r="EN10" i="10"/>
  <c r="EK10" i="10"/>
  <c r="ED10" i="10"/>
  <c r="EA10" i="10"/>
  <c r="DT10" i="10"/>
  <c r="DQ10" i="10"/>
  <c r="DJ10" i="10"/>
  <c r="DG10" i="10"/>
  <c r="CZ10" i="10"/>
  <c r="CW10" i="10"/>
  <c r="CP10" i="10"/>
  <c r="CM10" i="10"/>
  <c r="CF10" i="10"/>
  <c r="CC10" i="10"/>
  <c r="BV10" i="10"/>
  <c r="BS10" i="10"/>
  <c r="BL10" i="10"/>
  <c r="BI10" i="10"/>
  <c r="AY10" i="10"/>
  <c r="E11" i="7"/>
  <c r="F11" i="7"/>
  <c r="G11" i="7"/>
  <c r="H11" i="7"/>
  <c r="I11" i="7"/>
  <c r="J11" i="7"/>
  <c r="K11" i="7"/>
  <c r="L11" i="7"/>
  <c r="M11" i="7"/>
  <c r="N11" i="7"/>
  <c r="O11" i="7"/>
  <c r="P11" i="7"/>
  <c r="E12" i="7"/>
  <c r="F12" i="7"/>
  <c r="G12" i="7"/>
  <c r="H12" i="7"/>
  <c r="I12" i="7"/>
  <c r="J12" i="7"/>
  <c r="K12" i="7"/>
  <c r="L12" i="7"/>
  <c r="M12" i="7"/>
  <c r="N12" i="7"/>
  <c r="O12" i="7"/>
  <c r="P12" i="7"/>
  <c r="E13" i="7"/>
  <c r="F13" i="7"/>
  <c r="G13" i="7"/>
  <c r="H13" i="7"/>
  <c r="I13" i="7"/>
  <c r="J13" i="7"/>
  <c r="K13" i="7"/>
  <c r="L13" i="7"/>
  <c r="M13" i="7"/>
  <c r="N13" i="7"/>
  <c r="O13" i="7"/>
  <c r="P13" i="7"/>
  <c r="E14" i="7"/>
  <c r="F14" i="7"/>
  <c r="G14" i="7"/>
  <c r="H14" i="7"/>
  <c r="I14" i="7"/>
  <c r="J14" i="7"/>
  <c r="K14" i="7"/>
  <c r="L14" i="7"/>
  <c r="M14" i="7"/>
  <c r="N14" i="7"/>
  <c r="O14" i="7"/>
  <c r="P14" i="7"/>
  <c r="E15" i="7"/>
  <c r="F15" i="7"/>
  <c r="G15" i="7"/>
  <c r="H15" i="7"/>
  <c r="I15" i="7"/>
  <c r="J15" i="7"/>
  <c r="K15" i="7"/>
  <c r="L15" i="7"/>
  <c r="M15" i="7"/>
  <c r="N15" i="7"/>
  <c r="O15" i="7"/>
  <c r="P15" i="7"/>
  <c r="E16" i="7"/>
  <c r="F16" i="7"/>
  <c r="G16" i="7"/>
  <c r="H16" i="7"/>
  <c r="I16" i="7"/>
  <c r="J16" i="7"/>
  <c r="K16" i="7"/>
  <c r="L16" i="7"/>
  <c r="M16" i="7"/>
  <c r="N16" i="7"/>
  <c r="O16" i="7"/>
  <c r="P16" i="7"/>
  <c r="E17" i="7"/>
  <c r="F17" i="7"/>
  <c r="G17" i="7"/>
  <c r="H17" i="7"/>
  <c r="I17" i="7"/>
  <c r="J17" i="7"/>
  <c r="K17" i="7"/>
  <c r="L17" i="7"/>
  <c r="M17" i="7"/>
  <c r="N17" i="7"/>
  <c r="O17" i="7"/>
  <c r="P17" i="7"/>
  <c r="E18" i="7"/>
  <c r="F18" i="7"/>
  <c r="G18" i="7"/>
  <c r="H18" i="7"/>
  <c r="I18" i="7"/>
  <c r="J18" i="7"/>
  <c r="K18" i="7"/>
  <c r="L18" i="7"/>
  <c r="M18" i="7"/>
  <c r="N18" i="7"/>
  <c r="O18" i="7"/>
  <c r="P18" i="7"/>
  <c r="E19" i="7"/>
  <c r="F19" i="7"/>
  <c r="G19" i="7"/>
  <c r="H19" i="7"/>
  <c r="I19" i="7"/>
  <c r="J19" i="7"/>
  <c r="K19" i="7"/>
  <c r="L19" i="7"/>
  <c r="M19" i="7"/>
  <c r="N19" i="7"/>
  <c r="O19" i="7"/>
  <c r="P19" i="7"/>
  <c r="E20" i="7"/>
  <c r="F20" i="7"/>
  <c r="G20" i="7"/>
  <c r="H20" i="7"/>
  <c r="I20" i="7"/>
  <c r="J20" i="7"/>
  <c r="K20" i="7"/>
  <c r="L20" i="7"/>
  <c r="M20" i="7"/>
  <c r="N20" i="7"/>
  <c r="O20" i="7"/>
  <c r="P20" i="7"/>
  <c r="E21" i="7"/>
  <c r="F21" i="7"/>
  <c r="G21" i="7"/>
  <c r="H21" i="7"/>
  <c r="I21" i="7"/>
  <c r="J21" i="7"/>
  <c r="K21" i="7"/>
  <c r="L21" i="7"/>
  <c r="M21" i="7"/>
  <c r="N21" i="7"/>
  <c r="O21" i="7"/>
  <c r="P21" i="7"/>
  <c r="E22" i="7"/>
  <c r="F22" i="7"/>
  <c r="G22" i="7"/>
  <c r="H22" i="7"/>
  <c r="I22" i="7"/>
  <c r="J22" i="7"/>
  <c r="K22" i="7"/>
  <c r="L22" i="7"/>
  <c r="M22" i="7"/>
  <c r="N22" i="7"/>
  <c r="O22" i="7"/>
  <c r="P22" i="7"/>
  <c r="E23" i="7"/>
  <c r="F23" i="7"/>
  <c r="G23" i="7"/>
  <c r="H23" i="7"/>
  <c r="I23" i="7"/>
  <c r="J23" i="7"/>
  <c r="K23" i="7"/>
  <c r="L23" i="7"/>
  <c r="M23" i="7"/>
  <c r="N23" i="7"/>
  <c r="O23" i="7"/>
  <c r="P23" i="7"/>
  <c r="E24" i="7"/>
  <c r="F24" i="7"/>
  <c r="G24" i="7"/>
  <c r="H24" i="7"/>
  <c r="I24" i="7"/>
  <c r="J24" i="7"/>
  <c r="K24" i="7"/>
  <c r="L24" i="7"/>
  <c r="M24" i="7"/>
  <c r="N24" i="7"/>
  <c r="O24" i="7"/>
  <c r="P24" i="7"/>
  <c r="E25" i="7"/>
  <c r="F25" i="7"/>
  <c r="G25" i="7"/>
  <c r="H25" i="7"/>
  <c r="I25" i="7"/>
  <c r="J25" i="7"/>
  <c r="K25" i="7"/>
  <c r="L25" i="7"/>
  <c r="M25" i="7"/>
  <c r="N25" i="7"/>
  <c r="O25" i="7"/>
  <c r="P25" i="7"/>
  <c r="E26" i="7"/>
  <c r="F26" i="7"/>
  <c r="G26" i="7"/>
  <c r="H26" i="7"/>
  <c r="I26" i="7"/>
  <c r="J26" i="7"/>
  <c r="K26" i="7"/>
  <c r="L26" i="7"/>
  <c r="M26" i="7"/>
  <c r="N26" i="7"/>
  <c r="O26" i="7"/>
  <c r="P26" i="7"/>
  <c r="E27" i="7"/>
  <c r="F27" i="7"/>
  <c r="G27" i="7"/>
  <c r="H27" i="7"/>
  <c r="I27" i="7"/>
  <c r="J27" i="7"/>
  <c r="K27" i="7"/>
  <c r="L27" i="7"/>
  <c r="M27" i="7"/>
  <c r="N27" i="7"/>
  <c r="O27" i="7"/>
  <c r="P27" i="7"/>
  <c r="E28" i="7"/>
  <c r="F28" i="7"/>
  <c r="G28" i="7"/>
  <c r="H28" i="7"/>
  <c r="I28" i="7"/>
  <c r="J28" i="7"/>
  <c r="K28" i="7"/>
  <c r="L28" i="7"/>
  <c r="M28" i="7"/>
  <c r="N28" i="7"/>
  <c r="O28" i="7"/>
  <c r="P28" i="7"/>
  <c r="E29" i="7"/>
  <c r="F29" i="7"/>
  <c r="G29" i="7"/>
  <c r="H29" i="7"/>
  <c r="I29" i="7"/>
  <c r="J29" i="7"/>
  <c r="K29" i="7"/>
  <c r="L29" i="7"/>
  <c r="M29" i="7"/>
  <c r="N29" i="7"/>
  <c r="O29" i="7"/>
  <c r="P29" i="7"/>
  <c r="E30" i="7"/>
  <c r="F30" i="7"/>
  <c r="G30" i="7"/>
  <c r="H30" i="7"/>
  <c r="I30" i="7"/>
  <c r="J30" i="7"/>
  <c r="K30" i="7"/>
  <c r="L30" i="7"/>
  <c r="M30" i="7"/>
  <c r="N30" i="7"/>
  <c r="O30" i="7"/>
  <c r="P30" i="7"/>
  <c r="E31" i="7"/>
  <c r="F31" i="7"/>
  <c r="G31" i="7"/>
  <c r="H31" i="7"/>
  <c r="I31" i="7"/>
  <c r="J31" i="7"/>
  <c r="K31" i="7"/>
  <c r="L31" i="7"/>
  <c r="M31" i="7"/>
  <c r="N31" i="7"/>
  <c r="O31" i="7"/>
  <c r="P31" i="7"/>
  <c r="P10" i="7"/>
  <c r="O10" i="7"/>
  <c r="N10" i="7"/>
  <c r="M10" i="7"/>
  <c r="L10" i="7"/>
  <c r="K10" i="7"/>
  <c r="W11" i="7"/>
  <c r="W12" i="7"/>
  <c r="W13" i="7"/>
  <c r="W14" i="7"/>
  <c r="W15" i="7"/>
  <c r="W16" i="7"/>
  <c r="W17" i="7"/>
  <c r="W18" i="7"/>
  <c r="W19" i="7"/>
  <c r="W20" i="7"/>
  <c r="W21" i="7"/>
  <c r="W22" i="7"/>
  <c r="W23" i="7"/>
  <c r="W24" i="7"/>
  <c r="W25" i="7"/>
  <c r="W26" i="7"/>
  <c r="W27" i="7"/>
  <c r="W28" i="7"/>
  <c r="W29" i="7"/>
  <c r="W30" i="7"/>
  <c r="W31" i="7"/>
  <c r="W10" i="7"/>
  <c r="V11" i="7"/>
  <c r="V12" i="7"/>
  <c r="V13" i="7"/>
  <c r="V14" i="7"/>
  <c r="V15" i="7"/>
  <c r="V16" i="7"/>
  <c r="V17" i="7"/>
  <c r="V18" i="7"/>
  <c r="V19" i="7"/>
  <c r="V20" i="7"/>
  <c r="V21" i="7"/>
  <c r="V22" i="7"/>
  <c r="V23" i="7"/>
  <c r="V24" i="7"/>
  <c r="V25" i="7"/>
  <c r="V26" i="7"/>
  <c r="V27" i="7"/>
  <c r="V28" i="7"/>
  <c r="V29" i="7"/>
  <c r="V30" i="7"/>
  <c r="V31" i="7"/>
  <c r="V10" i="7"/>
  <c r="Q11" i="7"/>
  <c r="Q12" i="7"/>
  <c r="Q13" i="7"/>
  <c r="Q14" i="7"/>
  <c r="Q15" i="7"/>
  <c r="Q16" i="7"/>
  <c r="Q17" i="7"/>
  <c r="Q18" i="7"/>
  <c r="Q19" i="7"/>
  <c r="Q20" i="7"/>
  <c r="Q21" i="7"/>
  <c r="Q22" i="7"/>
  <c r="Q23" i="7"/>
  <c r="Q24" i="7"/>
  <c r="Q25" i="7"/>
  <c r="Q26" i="7"/>
  <c r="Q27" i="7"/>
  <c r="Q28" i="7"/>
  <c r="Q29" i="7"/>
  <c r="Q30" i="7"/>
  <c r="Q31" i="7"/>
  <c r="Q10" i="7"/>
  <c r="EQ31" i="7"/>
  <c r="EN31" i="7"/>
  <c r="EG31" i="7"/>
  <c r="ED31" i="7"/>
  <c r="DW31" i="7"/>
  <c r="DT31" i="7"/>
  <c r="DM31" i="7"/>
  <c r="DJ31" i="7"/>
  <c r="DC31" i="7"/>
  <c r="CZ31" i="7"/>
  <c r="CS31" i="7"/>
  <c r="CP31" i="7"/>
  <c r="EQ30" i="7"/>
  <c r="EN30" i="7"/>
  <c r="EG30" i="7"/>
  <c r="ED30" i="7"/>
  <c r="DW30" i="7"/>
  <c r="DT30" i="7"/>
  <c r="DM30" i="7"/>
  <c r="DJ30" i="7"/>
  <c r="DC30" i="7"/>
  <c r="CZ30" i="7"/>
  <c r="CS30" i="7"/>
  <c r="CP30" i="7"/>
  <c r="EQ29" i="7"/>
  <c r="EN29" i="7"/>
  <c r="EG29" i="7"/>
  <c r="ED29" i="7"/>
  <c r="DW29" i="7"/>
  <c r="DT29" i="7"/>
  <c r="DM29" i="7"/>
  <c r="DJ29" i="7"/>
  <c r="DC29" i="7"/>
  <c r="CZ29" i="7"/>
  <c r="CS29" i="7"/>
  <c r="CP29" i="7"/>
  <c r="EQ28" i="7"/>
  <c r="EN28" i="7"/>
  <c r="EG28" i="7"/>
  <c r="ED28" i="7"/>
  <c r="DW28" i="7"/>
  <c r="DT28" i="7"/>
  <c r="DM28" i="7"/>
  <c r="DJ28" i="7"/>
  <c r="DC28" i="7"/>
  <c r="CZ28" i="7"/>
  <c r="CS28" i="7"/>
  <c r="CP28" i="7"/>
  <c r="EQ27" i="7"/>
  <c r="EN27" i="7"/>
  <c r="EG27" i="7"/>
  <c r="ED27" i="7"/>
  <c r="DW27" i="7"/>
  <c r="DT27" i="7"/>
  <c r="DM27" i="7"/>
  <c r="DJ27" i="7"/>
  <c r="DC27" i="7"/>
  <c r="CZ27" i="7"/>
  <c r="CS27" i="7"/>
  <c r="CP27" i="7"/>
  <c r="EQ26" i="7"/>
  <c r="EN26" i="7"/>
  <c r="EG26" i="7"/>
  <c r="ED26" i="7"/>
  <c r="DW26" i="7"/>
  <c r="DT26" i="7"/>
  <c r="DM26" i="7"/>
  <c r="DJ26" i="7"/>
  <c r="DC26" i="7"/>
  <c r="CZ26" i="7"/>
  <c r="CS26" i="7"/>
  <c r="CP26" i="7"/>
  <c r="EQ25" i="7"/>
  <c r="EN25" i="7"/>
  <c r="EG25" i="7"/>
  <c r="ED25" i="7"/>
  <c r="DW25" i="7"/>
  <c r="DT25" i="7"/>
  <c r="DM25" i="7"/>
  <c r="DJ25" i="7"/>
  <c r="DC25" i="7"/>
  <c r="CZ25" i="7"/>
  <c r="CS25" i="7"/>
  <c r="CP25" i="7"/>
  <c r="EQ24" i="7"/>
  <c r="EN24" i="7"/>
  <c r="EG24" i="7"/>
  <c r="ED24" i="7"/>
  <c r="DW24" i="7"/>
  <c r="DT24" i="7"/>
  <c r="DM24" i="7"/>
  <c r="DJ24" i="7"/>
  <c r="DC24" i="7"/>
  <c r="CZ24" i="7"/>
  <c r="CS24" i="7"/>
  <c r="CP24" i="7"/>
  <c r="EQ23" i="7"/>
  <c r="EN23" i="7"/>
  <c r="EG23" i="7"/>
  <c r="ED23" i="7"/>
  <c r="DW23" i="7"/>
  <c r="DT23" i="7"/>
  <c r="DM23" i="7"/>
  <c r="DJ23" i="7"/>
  <c r="DC23" i="7"/>
  <c r="CZ23" i="7"/>
  <c r="CS23" i="7"/>
  <c r="CP23" i="7"/>
  <c r="EQ22" i="7"/>
  <c r="EN22" i="7"/>
  <c r="EG22" i="7"/>
  <c r="ED22" i="7"/>
  <c r="DW22" i="7"/>
  <c r="DT22" i="7"/>
  <c r="DM22" i="7"/>
  <c r="DJ22" i="7"/>
  <c r="DC22" i="7"/>
  <c r="CZ22" i="7"/>
  <c r="CS22" i="7"/>
  <c r="CP22" i="7"/>
  <c r="EQ21" i="7"/>
  <c r="EN21" i="7"/>
  <c r="EG21" i="7"/>
  <c r="ED21" i="7"/>
  <c r="DW21" i="7"/>
  <c r="DT21" i="7"/>
  <c r="DM21" i="7"/>
  <c r="DJ21" i="7"/>
  <c r="DC21" i="7"/>
  <c r="CZ21" i="7"/>
  <c r="CS21" i="7"/>
  <c r="CP21" i="7"/>
  <c r="EQ20" i="7"/>
  <c r="EN20" i="7"/>
  <c r="EG20" i="7"/>
  <c r="ED20" i="7"/>
  <c r="DW20" i="7"/>
  <c r="DT20" i="7"/>
  <c r="DM20" i="7"/>
  <c r="DJ20" i="7"/>
  <c r="DC20" i="7"/>
  <c r="CZ20" i="7"/>
  <c r="CS20" i="7"/>
  <c r="CP20" i="7"/>
  <c r="EQ19" i="7"/>
  <c r="EN19" i="7"/>
  <c r="EG19" i="7"/>
  <c r="ED19" i="7"/>
  <c r="DW19" i="7"/>
  <c r="DT19" i="7"/>
  <c r="DM19" i="7"/>
  <c r="DJ19" i="7"/>
  <c r="DC19" i="7"/>
  <c r="CZ19" i="7"/>
  <c r="CS19" i="7"/>
  <c r="CP19" i="7"/>
  <c r="EQ18" i="7"/>
  <c r="EN18" i="7"/>
  <c r="EG18" i="7"/>
  <c r="ED18" i="7"/>
  <c r="DW18" i="7"/>
  <c r="DT18" i="7"/>
  <c r="DM18" i="7"/>
  <c r="DJ18" i="7"/>
  <c r="DC18" i="7"/>
  <c r="CZ18" i="7"/>
  <c r="CS18" i="7"/>
  <c r="CP18" i="7"/>
  <c r="EQ17" i="7"/>
  <c r="EN17" i="7"/>
  <c r="EG17" i="7"/>
  <c r="ED17" i="7"/>
  <c r="DW17" i="7"/>
  <c r="DT17" i="7"/>
  <c r="DM17" i="7"/>
  <c r="DJ17" i="7"/>
  <c r="DC17" i="7"/>
  <c r="CZ17" i="7"/>
  <c r="CS17" i="7"/>
  <c r="CP17" i="7"/>
  <c r="EQ16" i="7"/>
  <c r="EN16" i="7"/>
  <c r="EG16" i="7"/>
  <c r="ED16" i="7"/>
  <c r="DW16" i="7"/>
  <c r="DT16" i="7"/>
  <c r="DM16" i="7"/>
  <c r="DJ16" i="7"/>
  <c r="DC16" i="7"/>
  <c r="CZ16" i="7"/>
  <c r="CS16" i="7"/>
  <c r="CP16" i="7"/>
  <c r="EQ15" i="7"/>
  <c r="EN15" i="7"/>
  <c r="EG15" i="7"/>
  <c r="ED15" i="7"/>
  <c r="DW15" i="7"/>
  <c r="DT15" i="7"/>
  <c r="DM15" i="7"/>
  <c r="DJ15" i="7"/>
  <c r="DC15" i="7"/>
  <c r="CZ15" i="7"/>
  <c r="CS15" i="7"/>
  <c r="CP15" i="7"/>
  <c r="EQ14" i="7"/>
  <c r="EN14" i="7"/>
  <c r="EG14" i="7"/>
  <c r="ED14" i="7"/>
  <c r="DW14" i="7"/>
  <c r="DT14" i="7"/>
  <c r="DM14" i="7"/>
  <c r="DJ14" i="7"/>
  <c r="DC14" i="7"/>
  <c r="CZ14" i="7"/>
  <c r="CS14" i="7"/>
  <c r="CP14" i="7"/>
  <c r="EQ13" i="7"/>
  <c r="EN13" i="7"/>
  <c r="EG13" i="7"/>
  <c r="ED13" i="7"/>
  <c r="DW13" i="7"/>
  <c r="DT13" i="7"/>
  <c r="DM13" i="7"/>
  <c r="DJ13" i="7"/>
  <c r="DC13" i="7"/>
  <c r="CZ13" i="7"/>
  <c r="CS13" i="7"/>
  <c r="CP13" i="7"/>
  <c r="EQ12" i="7"/>
  <c r="EN12" i="7"/>
  <c r="EG12" i="7"/>
  <c r="ED12" i="7"/>
  <c r="DW12" i="7"/>
  <c r="DT12" i="7"/>
  <c r="DM12" i="7"/>
  <c r="DJ12" i="7"/>
  <c r="DC12" i="7"/>
  <c r="CZ12" i="7"/>
  <c r="CS12" i="7"/>
  <c r="CP12" i="7"/>
  <c r="EQ11" i="7"/>
  <c r="EN11" i="7"/>
  <c r="EG11" i="7"/>
  <c r="ED11" i="7"/>
  <c r="DW11" i="7"/>
  <c r="DT11" i="7"/>
  <c r="DM11" i="7"/>
  <c r="DJ11" i="7"/>
  <c r="DC11" i="7"/>
  <c r="CZ11" i="7"/>
  <c r="CS11" i="7"/>
  <c r="CP11" i="7"/>
  <c r="EQ10" i="7"/>
  <c r="EN10" i="7"/>
  <c r="EG10" i="7"/>
  <c r="ED10" i="7"/>
  <c r="DW10" i="7"/>
  <c r="DT10" i="7"/>
  <c r="DM10" i="7"/>
  <c r="DJ10" i="7"/>
  <c r="DC10" i="7"/>
  <c r="CZ10" i="7"/>
  <c r="CS10" i="7"/>
  <c r="CP10" i="7"/>
  <c r="F100" i="16" l="1"/>
  <c r="J100" i="16" s="1"/>
  <c r="AJ21" i="11"/>
  <c r="E111" i="16"/>
  <c r="M111" i="16" s="1"/>
  <c r="AJ14" i="11"/>
  <c r="E104" i="16"/>
  <c r="I104" i="16" s="1"/>
  <c r="AJ22" i="11"/>
  <c r="E112" i="16"/>
  <c r="I112" i="16" s="1"/>
  <c r="AJ11" i="11"/>
  <c r="E101" i="16"/>
  <c r="I101" i="16" s="1"/>
  <c r="AJ17" i="11"/>
  <c r="E107" i="16"/>
  <c r="I107" i="16" s="1"/>
  <c r="AK25" i="11"/>
  <c r="F115" i="16"/>
  <c r="J115" i="16" s="1"/>
  <c r="AJ25" i="11"/>
  <c r="E115" i="16"/>
  <c r="I115" i="16" s="1"/>
  <c r="AK18" i="11"/>
  <c r="F108" i="16"/>
  <c r="J108" i="16" s="1"/>
  <c r="AJ18" i="11"/>
  <c r="E108" i="16"/>
  <c r="I108" i="16" s="1"/>
  <c r="AJ28" i="11"/>
  <c r="E118" i="16"/>
  <c r="M118" i="16" s="1"/>
  <c r="AJ19" i="11"/>
  <c r="E109" i="16"/>
  <c r="I109" i="16" s="1"/>
  <c r="AJ24" i="11"/>
  <c r="E114" i="16"/>
  <c r="K114" i="16" s="1"/>
  <c r="AK27" i="11"/>
  <c r="F117" i="16"/>
  <c r="P117" i="16" s="1"/>
  <c r="AJ27" i="11"/>
  <c r="E117" i="16"/>
  <c r="O117" i="16" s="1"/>
  <c r="AK19" i="11"/>
  <c r="F109" i="16"/>
  <c r="J109" i="16" s="1"/>
  <c r="AK28" i="11"/>
  <c r="F118" i="16"/>
  <c r="N118" i="16" s="1"/>
  <c r="AK23" i="11"/>
  <c r="F113" i="16"/>
  <c r="J113" i="16" s="1"/>
  <c r="AJ23" i="11"/>
  <c r="E113" i="16"/>
  <c r="I113" i="16" s="1"/>
  <c r="AK21" i="11"/>
  <c r="F111" i="16"/>
  <c r="N111" i="16" s="1"/>
  <c r="AK22" i="11"/>
  <c r="F112" i="16"/>
  <c r="J112" i="16" s="1"/>
  <c r="AK17" i="11"/>
  <c r="F107" i="16"/>
  <c r="J107" i="16" s="1"/>
  <c r="AK16" i="11"/>
  <c r="F106" i="16"/>
  <c r="J106" i="16" s="1"/>
  <c r="AJ16" i="11"/>
  <c r="E106" i="16"/>
  <c r="I106" i="16" s="1"/>
  <c r="AK15" i="11"/>
  <c r="F105" i="16"/>
  <c r="N105" i="16" s="1"/>
  <c r="AJ15" i="11"/>
  <c r="E105" i="16"/>
  <c r="M105" i="16" s="1"/>
  <c r="AK14" i="11"/>
  <c r="F104" i="16"/>
  <c r="J104" i="16" s="1"/>
  <c r="AK13" i="11"/>
  <c r="F103" i="16"/>
  <c r="L103" i="16" s="1"/>
  <c r="AJ13" i="11"/>
  <c r="E103" i="16"/>
  <c r="K103" i="16" s="1"/>
  <c r="AK12" i="11"/>
  <c r="F102" i="16"/>
  <c r="L102" i="16" s="1"/>
  <c r="AJ12" i="11"/>
  <c r="E102" i="16"/>
  <c r="K102" i="16" s="1"/>
  <c r="AK11" i="11"/>
  <c r="F101" i="16"/>
  <c r="J101" i="16" s="1"/>
  <c r="E100" i="16"/>
  <c r="I100" i="16" s="1"/>
  <c r="E116" i="16"/>
  <c r="O116" i="16" s="1"/>
  <c r="F116" i="16"/>
  <c r="P116" i="16" s="1"/>
  <c r="T64" i="16"/>
  <c r="U64" i="16"/>
  <c r="BV9" i="17"/>
  <c r="AI24" i="10"/>
  <c r="AK24" i="10" s="1"/>
  <c r="AH11" i="10"/>
  <c r="AJ11" i="10" s="1"/>
  <c r="AH13" i="10"/>
  <c r="AJ13" i="10" s="1"/>
  <c r="AH17" i="10"/>
  <c r="AJ17" i="10" s="1"/>
  <c r="AI11" i="10"/>
  <c r="AK11" i="10" s="1"/>
  <c r="AH16" i="10"/>
  <c r="AJ16" i="10" s="1"/>
  <c r="AH12" i="10"/>
  <c r="AJ12" i="10" s="1"/>
  <c r="AH18" i="10"/>
  <c r="AJ18" i="10" s="1"/>
  <c r="AH19" i="10"/>
  <c r="AH20" i="10"/>
  <c r="AH21" i="10"/>
  <c r="AJ21" i="10" s="1"/>
  <c r="AI12" i="10"/>
  <c r="AK12" i="10" s="1"/>
  <c r="AI13" i="10"/>
  <c r="AK13" i="10" s="1"/>
  <c r="AI16" i="10"/>
  <c r="AK16" i="10" s="1"/>
  <c r="AI17" i="10"/>
  <c r="AK17" i="10" s="1"/>
  <c r="AI18" i="10"/>
  <c r="AK18" i="10" s="1"/>
  <c r="AI19" i="10"/>
  <c r="AK19" i="10" s="1"/>
  <c r="AI20" i="10"/>
  <c r="AI21" i="10"/>
  <c r="AK21" i="10" s="1"/>
  <c r="AH24" i="10"/>
  <c r="AJ24" i="10" s="1"/>
  <c r="AK10" i="11"/>
  <c r="AJ10" i="11"/>
  <c r="U54" i="16"/>
  <c r="BS9" i="17"/>
  <c r="BT9" i="17"/>
  <c r="BU9" i="17"/>
  <c r="BV8" i="17"/>
  <c r="BS8" i="17"/>
  <c r="BU8" i="17"/>
  <c r="BT8" i="17"/>
  <c r="T54" i="16"/>
  <c r="V38" i="16"/>
  <c r="T38" i="16"/>
  <c r="T30" i="16"/>
  <c r="T46" i="16"/>
  <c r="K118" i="17"/>
  <c r="I125" i="17"/>
  <c r="K121" i="17"/>
  <c r="K122" i="17"/>
  <c r="K123" i="17"/>
  <c r="K124" i="17"/>
  <c r="I132" i="17"/>
  <c r="I118" i="17"/>
  <c r="J132" i="17"/>
  <c r="J115" i="17"/>
  <c r="J116" i="17"/>
  <c r="J117" i="17"/>
  <c r="J114" i="17"/>
  <c r="U30" i="16"/>
  <c r="U46" i="16"/>
  <c r="U38" i="16"/>
  <c r="AI10" i="10"/>
  <c r="AH14" i="10"/>
  <c r="AJ14" i="10" s="1"/>
  <c r="AH15" i="10"/>
  <c r="AJ15" i="10" s="1"/>
  <c r="AJ19" i="10"/>
  <c r="AJ20" i="10"/>
  <c r="AH22" i="10"/>
  <c r="AJ22" i="10" s="1"/>
  <c r="AH23" i="10"/>
  <c r="AJ23" i="10" s="1"/>
  <c r="AI25" i="10"/>
  <c r="AK25" i="10" s="1"/>
  <c r="AI26" i="10"/>
  <c r="AI27" i="10"/>
  <c r="AK27" i="10" s="1"/>
  <c r="AH26" i="10"/>
  <c r="AJ26" i="10" s="1"/>
  <c r="AH10" i="10"/>
  <c r="AI14" i="10"/>
  <c r="AK14" i="10" s="1"/>
  <c r="AI15" i="10"/>
  <c r="AK15" i="10" s="1"/>
  <c r="AK20" i="10"/>
  <c r="AI22" i="10"/>
  <c r="AK22" i="10" s="1"/>
  <c r="AH25" i="10"/>
  <c r="AJ25" i="10" s="1"/>
  <c r="AH27" i="10"/>
  <c r="AJ27" i="10" s="1"/>
  <c r="AI23" i="10"/>
  <c r="AK23" i="10" s="1"/>
  <c r="F23" i="10"/>
  <c r="F10" i="10"/>
  <c r="R10" i="10"/>
  <c r="Y10" i="10" s="1" a="1"/>
  <c r="Y10" i="10" s="1"/>
  <c r="G18" i="10"/>
  <c r="K18" i="10"/>
  <c r="H16" i="10"/>
  <c r="L16" i="10"/>
  <c r="H18" i="10"/>
  <c r="H19" i="10"/>
  <c r="L19" i="10"/>
  <c r="H20" i="10"/>
  <c r="L20" i="10"/>
  <c r="Z29" i="12"/>
  <c r="AN29" i="12" s="1"/>
  <c r="H21" i="10"/>
  <c r="K19" i="10"/>
  <c r="X16" i="10"/>
  <c r="R25" i="10"/>
  <c r="Y25" i="10" s="1" a="1"/>
  <c r="Y25" i="10" s="1"/>
  <c r="J16" i="10"/>
  <c r="F18" i="10"/>
  <c r="J18" i="10"/>
  <c r="F19" i="10"/>
  <c r="R19" i="10"/>
  <c r="Y19" i="10" s="1" a="1"/>
  <c r="Y19" i="10" s="1"/>
  <c r="J19" i="10"/>
  <c r="AH9" i="16"/>
  <c r="H17" i="10"/>
  <c r="X18" i="10"/>
  <c r="I16" i="10"/>
  <c r="J9" i="16"/>
  <c r="J31" i="16" s="1"/>
  <c r="J32" i="16" s="1"/>
  <c r="F15" i="10"/>
  <c r="I18" i="10"/>
  <c r="I19" i="10"/>
  <c r="J23" i="10"/>
  <c r="F24" i="10"/>
  <c r="F25" i="10"/>
  <c r="J25" i="10"/>
  <c r="F26" i="10"/>
  <c r="J26" i="10"/>
  <c r="W29" i="10"/>
  <c r="Z29" i="10" s="1"/>
  <c r="AN29" i="10" s="1"/>
  <c r="W30" i="10"/>
  <c r="Z30" i="10" s="1"/>
  <c r="AN30" i="10" s="1"/>
  <c r="X30" i="10"/>
  <c r="G16" i="10"/>
  <c r="K16" i="10"/>
  <c r="H24" i="10"/>
  <c r="L24" i="10"/>
  <c r="H25" i="10"/>
  <c r="H26" i="10"/>
  <c r="H27" i="10"/>
  <c r="R16" i="10"/>
  <c r="Y16" i="10" s="1" a="1"/>
  <c r="Y16" i="10" s="1"/>
  <c r="X22" i="10"/>
  <c r="G11" i="10"/>
  <c r="K12" i="10"/>
  <c r="K13" i="10"/>
  <c r="G14" i="10"/>
  <c r="K14" i="10"/>
  <c r="G15" i="10"/>
  <c r="G17" i="10"/>
  <c r="K17" i="10"/>
  <c r="I10" i="10"/>
  <c r="I11" i="10"/>
  <c r="I13" i="10"/>
  <c r="I14" i="10"/>
  <c r="I15" i="10"/>
  <c r="I17" i="10"/>
  <c r="R17" i="10"/>
  <c r="Y17" i="10" s="1" a="1"/>
  <c r="Y17" i="10" s="1"/>
  <c r="J20" i="10"/>
  <c r="J21" i="10"/>
  <c r="X29" i="10"/>
  <c r="J24" i="10"/>
  <c r="I12" i="10"/>
  <c r="G10" i="10"/>
  <c r="F20" i="10"/>
  <c r="X31" i="10"/>
  <c r="F21" i="10"/>
  <c r="G19" i="10"/>
  <c r="G13" i="10"/>
  <c r="G12" i="10"/>
  <c r="F16" i="10"/>
  <c r="T9" i="16"/>
  <c r="AG9" i="16"/>
  <c r="AF9" i="16"/>
  <c r="U9" i="16"/>
  <c r="R12" i="10"/>
  <c r="Y12" i="10" s="1" a="1"/>
  <c r="Y12" i="10" s="1"/>
  <c r="X20" i="10"/>
  <c r="G22" i="10"/>
  <c r="K22" i="10"/>
  <c r="X27" i="10"/>
  <c r="H22" i="10"/>
  <c r="X23" i="10"/>
  <c r="W31" i="10"/>
  <c r="Z31" i="10" s="1"/>
  <c r="AN31" i="10" s="1"/>
  <c r="J10" i="10"/>
  <c r="F11" i="10"/>
  <c r="J11" i="10"/>
  <c r="F12" i="10"/>
  <c r="J12" i="10"/>
  <c r="F13" i="10"/>
  <c r="J13" i="10"/>
  <c r="F14" i="10"/>
  <c r="J14" i="10"/>
  <c r="J15" i="10"/>
  <c r="W17" i="10"/>
  <c r="F17" i="10"/>
  <c r="J17" i="10"/>
  <c r="W20" i="10"/>
  <c r="I20" i="10"/>
  <c r="I21" i="10"/>
  <c r="I23" i="10"/>
  <c r="I24" i="10"/>
  <c r="I25" i="10"/>
  <c r="I26" i="10"/>
  <c r="I27" i="10"/>
  <c r="R30" i="10"/>
  <c r="Y30" i="10" s="1" a="1"/>
  <c r="Y30" i="10" s="1"/>
  <c r="I22" i="10"/>
  <c r="F27" i="10"/>
  <c r="J27" i="10"/>
  <c r="R29" i="10"/>
  <c r="Y29" i="10" s="1" a="1"/>
  <c r="Y29" i="10" s="1"/>
  <c r="X11" i="10"/>
  <c r="X15" i="10"/>
  <c r="X17" i="10"/>
  <c r="X21" i="10"/>
  <c r="F22" i="10"/>
  <c r="J22" i="10"/>
  <c r="X28" i="10"/>
  <c r="H10" i="10"/>
  <c r="H11" i="10"/>
  <c r="H12" i="10"/>
  <c r="H13" i="10"/>
  <c r="L13" i="10"/>
  <c r="H14" i="10"/>
  <c r="H15" i="10"/>
  <c r="G20" i="10"/>
  <c r="K20" i="10"/>
  <c r="G21" i="10"/>
  <c r="K21" i="10"/>
  <c r="G23" i="10"/>
  <c r="K23" i="10"/>
  <c r="G24" i="10"/>
  <c r="K24" i="10"/>
  <c r="G25" i="10"/>
  <c r="K25" i="10"/>
  <c r="G26" i="10"/>
  <c r="K26" i="10"/>
  <c r="G27" i="10"/>
  <c r="K27" i="10"/>
  <c r="W23" i="10"/>
  <c r="H23" i="10"/>
  <c r="Z14" i="11"/>
  <c r="AN14" i="11" s="1"/>
  <c r="I26" i="17" s="1"/>
  <c r="W28" i="10"/>
  <c r="Z28" i="10" s="1"/>
  <c r="AN28" i="10" s="1"/>
  <c r="R28" i="10"/>
  <c r="Y28" i="10" s="1" a="1"/>
  <c r="Y28" i="10" s="1"/>
  <c r="X25" i="10"/>
  <c r="X13" i="10"/>
  <c r="R20" i="10"/>
  <c r="Y20" i="10" s="1" a="1"/>
  <c r="Y20" i="10" s="1"/>
  <c r="R23" i="10"/>
  <c r="Y23" i="10" s="1" a="1"/>
  <c r="Y23" i="10" s="1"/>
  <c r="X26" i="10"/>
  <c r="W10" i="10"/>
  <c r="R15" i="10"/>
  <c r="Y15" i="10" s="1" a="1"/>
  <c r="Y15" i="10" s="1"/>
  <c r="W27" i="10"/>
  <c r="R11" i="10"/>
  <c r="Y11" i="10" s="1" a="1"/>
  <c r="Y11" i="10" s="1"/>
  <c r="X12" i="10"/>
  <c r="X19" i="10"/>
  <c r="R31" i="10"/>
  <c r="Y31" i="10" s="1" a="1"/>
  <c r="Y31" i="10" s="1"/>
  <c r="W11" i="10"/>
  <c r="X10" i="10"/>
  <c r="W24" i="10"/>
  <c r="I9" i="16"/>
  <c r="I31" i="16" s="1"/>
  <c r="I32" i="16" s="1"/>
  <c r="Z28" i="11"/>
  <c r="Z15" i="11"/>
  <c r="AN15" i="11" s="1"/>
  <c r="I27" i="17" s="1"/>
  <c r="Z27" i="11"/>
  <c r="AN27" i="11" s="1"/>
  <c r="I39" i="17" s="1"/>
  <c r="Z26" i="11"/>
  <c r="AN26" i="11" s="1"/>
  <c r="I38" i="17" s="1"/>
  <c r="Z13" i="11"/>
  <c r="AN13" i="11" s="1"/>
  <c r="I25" i="17" s="1"/>
  <c r="Z11" i="11"/>
  <c r="AN11" i="11" s="1"/>
  <c r="I23" i="17" s="1"/>
  <c r="H9" i="16"/>
  <c r="H31" i="16" s="1"/>
  <c r="H32" i="16" s="1"/>
  <c r="Z18" i="11"/>
  <c r="AN18" i="11" s="1"/>
  <c r="I30" i="17" s="1"/>
  <c r="Z25" i="11"/>
  <c r="Z19" i="11"/>
  <c r="Z24" i="11"/>
  <c r="AN24" i="11" s="1"/>
  <c r="I36" i="17" s="1"/>
  <c r="Z10" i="11"/>
  <c r="Z23" i="11"/>
  <c r="AN23" i="11" s="1"/>
  <c r="I35" i="17" s="1"/>
  <c r="Z21" i="11"/>
  <c r="AN21" i="11" s="1"/>
  <c r="I33" i="17" s="1"/>
  <c r="W14" i="10"/>
  <c r="Z16" i="11"/>
  <c r="Z12" i="11"/>
  <c r="AN12" i="11" s="1"/>
  <c r="I24" i="17" s="1"/>
  <c r="Z22" i="11"/>
  <c r="AN22" i="11" s="1"/>
  <c r="I34" i="17" s="1"/>
  <c r="Z20" i="11"/>
  <c r="AN20" i="11" s="1"/>
  <c r="I32" i="17" s="1"/>
  <c r="Z17" i="11"/>
  <c r="AN17" i="11" s="1"/>
  <c r="I29" i="17" s="1"/>
  <c r="R21" i="10"/>
  <c r="Y21" i="10" s="1" a="1"/>
  <c r="Y21" i="10" s="1"/>
  <c r="R18" i="10"/>
  <c r="W18" i="10"/>
  <c r="W16" i="10"/>
  <c r="X24" i="10"/>
  <c r="R14" i="10"/>
  <c r="Y14" i="10" s="1" a="1"/>
  <c r="Y14" i="10" s="1"/>
  <c r="W13" i="10"/>
  <c r="R24" i="10"/>
  <c r="Y24" i="10" s="1" a="1"/>
  <c r="Y24" i="10" s="1"/>
  <c r="W19" i="10"/>
  <c r="W15" i="10"/>
  <c r="X14" i="10"/>
  <c r="W12" i="10"/>
  <c r="R27" i="10"/>
  <c r="Y27" i="10" s="1" a="1"/>
  <c r="Y27" i="10" s="1"/>
  <c r="R26" i="10"/>
  <c r="W26" i="10"/>
  <c r="W25" i="10"/>
  <c r="R22" i="10"/>
  <c r="Y22" i="10" s="1" a="1"/>
  <c r="Y22" i="10" s="1"/>
  <c r="W22" i="10"/>
  <c r="W21" i="10"/>
  <c r="R13" i="10"/>
  <c r="Y13" i="10" s="1" a="1"/>
  <c r="Y13" i="10" s="1"/>
  <c r="Y26" i="7"/>
  <c r="AJ10" i="10" l="1"/>
  <c r="AK10" i="10"/>
  <c r="R53" i="16"/>
  <c r="R63" i="16" s="1"/>
  <c r="R52" i="16"/>
  <c r="R62" i="16" s="1"/>
  <c r="R51" i="16"/>
  <c r="R61" i="16" s="1"/>
  <c r="R50" i="16"/>
  <c r="K125" i="17"/>
  <c r="J125" i="17"/>
  <c r="J118" i="17"/>
  <c r="G116" i="17"/>
  <c r="G117" i="17"/>
  <c r="G115" i="17"/>
  <c r="G114" i="17"/>
  <c r="AN10" i="11"/>
  <c r="I22" i="17" s="1"/>
  <c r="R43" i="16"/>
  <c r="R29" i="16"/>
  <c r="R35" i="16"/>
  <c r="R36" i="16"/>
  <c r="R45" i="16"/>
  <c r="R27" i="16"/>
  <c r="R37" i="16"/>
  <c r="R44" i="16"/>
  <c r="R42" i="16"/>
  <c r="R26" i="16"/>
  <c r="R34" i="16"/>
  <c r="R28" i="16"/>
  <c r="AN16" i="11"/>
  <c r="I28" i="17" s="1"/>
  <c r="AN19" i="11"/>
  <c r="I31" i="17" s="1"/>
  <c r="AN25" i="11"/>
  <c r="I37" i="17" s="1"/>
  <c r="Z16" i="10"/>
  <c r="AN16" i="10" s="1"/>
  <c r="I10" i="17" s="1"/>
  <c r="AN28" i="11"/>
  <c r="Y18" i="10" a="1"/>
  <c r="Y18" i="10" s="1"/>
  <c r="Z18" i="10" s="1"/>
  <c r="AN18" i="10" s="1"/>
  <c r="I12" i="17" s="1"/>
  <c r="Z25" i="10"/>
  <c r="AN25" i="10" s="1"/>
  <c r="I19" i="17" s="1"/>
  <c r="Z22" i="10"/>
  <c r="AN22" i="10" s="1"/>
  <c r="I16" i="17" s="1"/>
  <c r="Z13" i="10"/>
  <c r="AN13" i="10" s="1"/>
  <c r="I7" i="17" s="1"/>
  <c r="Z20" i="10"/>
  <c r="AN20" i="10" s="1"/>
  <c r="I14" i="17" s="1"/>
  <c r="Z23" i="10"/>
  <c r="AN23" i="10" s="1"/>
  <c r="I17" i="17" s="1"/>
  <c r="Z26" i="10"/>
  <c r="AN26" i="10" s="1"/>
  <c r="I20" i="17" s="1"/>
  <c r="Z11" i="10"/>
  <c r="AN11" i="10" s="1"/>
  <c r="Z12" i="10"/>
  <c r="AD5" i="16"/>
  <c r="AD6" i="16"/>
  <c r="AD7" i="16"/>
  <c r="AD8" i="16"/>
  <c r="R8" i="16"/>
  <c r="R7" i="16"/>
  <c r="R6" i="16"/>
  <c r="R5" i="16"/>
  <c r="Z17" i="10"/>
  <c r="AN17" i="10" s="1"/>
  <c r="I11" i="17" s="1"/>
  <c r="Z27" i="10"/>
  <c r="AN27" i="10" s="1"/>
  <c r="I21" i="17" s="1"/>
  <c r="Z10" i="10"/>
  <c r="AN10" i="10" s="1"/>
  <c r="I4" i="17" s="1"/>
  <c r="Z24" i="10"/>
  <c r="AN24" i="10" s="1"/>
  <c r="I18" i="17" s="1"/>
  <c r="Z15" i="10"/>
  <c r="AN15" i="10" s="1"/>
  <c r="I9" i="17" s="1"/>
  <c r="F5" i="16"/>
  <c r="F7" i="16"/>
  <c r="F8" i="16"/>
  <c r="F6" i="16"/>
  <c r="Z19" i="10"/>
  <c r="AN19" i="10" s="1"/>
  <c r="I13" i="17" s="1"/>
  <c r="Z21" i="10"/>
  <c r="AN21" i="10" s="1"/>
  <c r="I15" i="17" s="1"/>
  <c r="Z14" i="10"/>
  <c r="AN14" i="10" s="1"/>
  <c r="I8" i="17" s="1"/>
  <c r="CI31" i="7"/>
  <c r="CF31" i="7"/>
  <c r="CI30" i="7"/>
  <c r="CF30" i="7"/>
  <c r="CI29" i="7"/>
  <c r="CF29" i="7"/>
  <c r="CI28" i="7"/>
  <c r="CF28" i="7"/>
  <c r="CI27" i="7"/>
  <c r="CF27" i="7"/>
  <c r="CI26" i="7"/>
  <c r="CF26" i="7"/>
  <c r="CI25" i="7"/>
  <c r="CF25" i="7"/>
  <c r="CI24" i="7"/>
  <c r="CF24" i="7"/>
  <c r="CI23" i="7"/>
  <c r="CF23" i="7"/>
  <c r="CI22" i="7"/>
  <c r="CF22" i="7"/>
  <c r="CI21" i="7"/>
  <c r="CF21" i="7"/>
  <c r="CI20" i="7"/>
  <c r="CF20" i="7"/>
  <c r="CI19" i="7"/>
  <c r="CF19" i="7"/>
  <c r="CI18" i="7"/>
  <c r="CF18" i="7"/>
  <c r="CI17" i="7"/>
  <c r="CF17" i="7"/>
  <c r="CI16" i="7"/>
  <c r="CF16" i="7"/>
  <c r="CI15" i="7"/>
  <c r="CF15" i="7"/>
  <c r="CI14" i="7"/>
  <c r="CF14" i="7"/>
  <c r="CI13" i="7"/>
  <c r="CF13" i="7"/>
  <c r="CI12" i="7"/>
  <c r="CF12" i="7"/>
  <c r="CI11" i="7"/>
  <c r="CF11" i="7"/>
  <c r="CI10" i="7"/>
  <c r="CF10" i="7"/>
  <c r="O15" i="23" l="1"/>
  <c r="O6" i="23"/>
  <c r="O4" i="23"/>
  <c r="N8" i="23"/>
  <c r="O16" i="23"/>
  <c r="O7" i="23"/>
  <c r="O5" i="23"/>
  <c r="R64" i="16"/>
  <c r="I40" i="17"/>
  <c r="G129" i="17" s="1"/>
  <c r="AN12" i="10"/>
  <c r="I6" i="17" s="1"/>
  <c r="BV6" i="17"/>
  <c r="BU6" i="17"/>
  <c r="BT6" i="17"/>
  <c r="BS6" i="17"/>
  <c r="Q51" i="16"/>
  <c r="Q61" i="16" s="1"/>
  <c r="Q50" i="16"/>
  <c r="Q52" i="16"/>
  <c r="Q62" i="16" s="1"/>
  <c r="Q53" i="16"/>
  <c r="Q63" i="16" s="1"/>
  <c r="R54" i="16"/>
  <c r="F128" i="17"/>
  <c r="F129" i="17"/>
  <c r="F130" i="17"/>
  <c r="F131" i="17"/>
  <c r="G122" i="17"/>
  <c r="G123" i="17"/>
  <c r="G124" i="17"/>
  <c r="G121" i="17"/>
  <c r="F122" i="17"/>
  <c r="F123" i="17"/>
  <c r="F121" i="17"/>
  <c r="F124" i="17"/>
  <c r="G118" i="17"/>
  <c r="F117" i="17"/>
  <c r="F114" i="17"/>
  <c r="F116" i="17"/>
  <c r="F115" i="17"/>
  <c r="I5" i="17"/>
  <c r="Q27" i="16"/>
  <c r="Q43" i="16"/>
  <c r="Q28" i="16"/>
  <c r="Q37" i="16"/>
  <c r="Q35" i="16"/>
  <c r="Q45" i="16"/>
  <c r="Q29" i="16"/>
  <c r="Q26" i="16"/>
  <c r="Q42" i="16"/>
  <c r="Q36" i="16"/>
  <c r="Q44" i="16"/>
  <c r="Q34" i="16"/>
  <c r="R38" i="16"/>
  <c r="R30" i="16"/>
  <c r="R46" i="16"/>
  <c r="E7" i="16"/>
  <c r="AD9" i="16"/>
  <c r="E5" i="16"/>
  <c r="R9" i="16"/>
  <c r="E8" i="16"/>
  <c r="Q6" i="16"/>
  <c r="Q7" i="16"/>
  <c r="Q5" i="16"/>
  <c r="Q8" i="16"/>
  <c r="AC7" i="16"/>
  <c r="AC8" i="16"/>
  <c r="AC5" i="16"/>
  <c r="AC6" i="16"/>
  <c r="F9" i="16"/>
  <c r="F31" i="16" s="1"/>
  <c r="F32" i="16" s="1"/>
  <c r="E6" i="16"/>
  <c r="J10" i="7"/>
  <c r="AU31" i="7"/>
  <c r="AR31" i="7"/>
  <c r="AU30" i="7"/>
  <c r="AR30" i="7"/>
  <c r="AU29" i="7"/>
  <c r="AR29" i="7"/>
  <c r="AU28" i="7"/>
  <c r="AR28" i="7"/>
  <c r="AU27" i="7"/>
  <c r="AR27" i="7"/>
  <c r="AU26" i="7"/>
  <c r="AR26" i="7"/>
  <c r="AU25" i="7"/>
  <c r="AR25" i="7"/>
  <c r="AU24" i="7"/>
  <c r="AR24" i="7"/>
  <c r="AU23" i="7"/>
  <c r="AR23" i="7"/>
  <c r="AU22" i="7"/>
  <c r="AR22" i="7"/>
  <c r="AU21" i="7"/>
  <c r="AR21" i="7"/>
  <c r="AU20" i="7"/>
  <c r="AR20" i="7"/>
  <c r="AU19" i="7"/>
  <c r="AR19" i="7"/>
  <c r="AU18" i="7"/>
  <c r="AR18" i="7"/>
  <c r="AU17" i="7"/>
  <c r="AR17" i="7"/>
  <c r="AU16" i="7"/>
  <c r="AR16" i="7"/>
  <c r="AU15" i="7"/>
  <c r="AR15" i="7"/>
  <c r="AU14" i="7"/>
  <c r="AR14" i="7"/>
  <c r="AU13" i="7"/>
  <c r="AR13" i="7"/>
  <c r="AU12" i="7"/>
  <c r="AR12" i="7"/>
  <c r="AU11" i="7"/>
  <c r="AR11" i="7"/>
  <c r="AU10" i="7"/>
  <c r="AR10" i="7"/>
  <c r="BE31" i="7"/>
  <c r="BB31" i="7"/>
  <c r="BE30" i="7"/>
  <c r="BB30" i="7"/>
  <c r="BE29" i="7"/>
  <c r="BB29" i="7"/>
  <c r="BE28" i="7"/>
  <c r="BB28" i="7"/>
  <c r="BE27" i="7"/>
  <c r="BB27" i="7"/>
  <c r="BE26" i="7"/>
  <c r="BB26" i="7"/>
  <c r="BE25" i="7"/>
  <c r="BB25" i="7"/>
  <c r="BE24" i="7"/>
  <c r="BB24" i="7"/>
  <c r="BE23" i="7"/>
  <c r="BB23" i="7"/>
  <c r="BE22" i="7"/>
  <c r="BB22" i="7"/>
  <c r="BE21" i="7"/>
  <c r="BB21" i="7"/>
  <c r="BE20" i="7"/>
  <c r="BB20" i="7"/>
  <c r="BE19" i="7"/>
  <c r="BB19" i="7"/>
  <c r="BE18" i="7"/>
  <c r="BB18" i="7"/>
  <c r="BE17" i="7"/>
  <c r="BB17" i="7"/>
  <c r="BE16" i="7"/>
  <c r="BB16" i="7"/>
  <c r="BE15" i="7"/>
  <c r="BB15" i="7"/>
  <c r="BE14" i="7"/>
  <c r="BB14" i="7"/>
  <c r="BE13" i="7"/>
  <c r="BB13" i="7"/>
  <c r="BE12" i="7"/>
  <c r="BB12" i="7"/>
  <c r="BE11" i="7"/>
  <c r="BB11" i="7"/>
  <c r="BE10" i="7"/>
  <c r="BB10" i="7"/>
  <c r="BO31" i="7"/>
  <c r="BL31" i="7"/>
  <c r="BO30" i="7"/>
  <c r="BL30" i="7"/>
  <c r="BO29" i="7"/>
  <c r="BL29" i="7"/>
  <c r="BO28" i="7"/>
  <c r="BL28" i="7"/>
  <c r="BO27" i="7"/>
  <c r="BL27" i="7"/>
  <c r="BO26" i="7"/>
  <c r="BL26" i="7"/>
  <c r="BO25" i="7"/>
  <c r="BL25" i="7"/>
  <c r="BO24" i="7"/>
  <c r="BL24" i="7"/>
  <c r="BO23" i="7"/>
  <c r="BL23" i="7"/>
  <c r="BO22" i="7"/>
  <c r="BL22" i="7"/>
  <c r="BO21" i="7"/>
  <c r="BL21" i="7"/>
  <c r="BO20" i="7"/>
  <c r="BL20" i="7"/>
  <c r="BO19" i="7"/>
  <c r="BL19" i="7"/>
  <c r="BO18" i="7"/>
  <c r="BL18" i="7"/>
  <c r="BO17" i="7"/>
  <c r="BL17" i="7"/>
  <c r="BO16" i="7"/>
  <c r="BL16" i="7"/>
  <c r="BO15" i="7"/>
  <c r="BL15" i="7"/>
  <c r="BO14" i="7"/>
  <c r="BL14" i="7"/>
  <c r="BO13" i="7"/>
  <c r="BL13" i="7"/>
  <c r="BO12" i="7"/>
  <c r="BL12" i="7"/>
  <c r="BO11" i="7"/>
  <c r="BL11" i="7"/>
  <c r="BO10" i="7"/>
  <c r="BL10" i="7"/>
  <c r="BY31" i="7"/>
  <c r="BV31" i="7"/>
  <c r="BY30" i="7"/>
  <c r="BV30" i="7"/>
  <c r="BY29" i="7"/>
  <c r="BV29" i="7"/>
  <c r="BY28" i="7"/>
  <c r="BV28" i="7"/>
  <c r="BY27" i="7"/>
  <c r="BV27" i="7"/>
  <c r="BY26" i="7"/>
  <c r="BV26" i="7"/>
  <c r="BY25" i="7"/>
  <c r="BV25" i="7"/>
  <c r="BY24" i="7"/>
  <c r="BV24" i="7"/>
  <c r="BY23" i="7"/>
  <c r="BV23" i="7"/>
  <c r="BY22" i="7"/>
  <c r="BV22" i="7"/>
  <c r="BY21" i="7"/>
  <c r="BV21" i="7"/>
  <c r="BY20" i="7"/>
  <c r="BV20" i="7"/>
  <c r="BY19" i="7"/>
  <c r="BV19" i="7"/>
  <c r="BY18" i="7"/>
  <c r="BV18" i="7"/>
  <c r="BY17" i="7"/>
  <c r="BV17" i="7"/>
  <c r="BY16" i="7"/>
  <c r="BV16" i="7"/>
  <c r="BY15" i="7"/>
  <c r="BV15" i="7"/>
  <c r="BY14" i="7"/>
  <c r="BV14" i="7"/>
  <c r="BY13" i="7"/>
  <c r="BV13" i="7"/>
  <c r="BY12" i="7"/>
  <c r="BV12" i="7"/>
  <c r="BY11" i="7"/>
  <c r="BV11" i="7"/>
  <c r="BY10" i="7"/>
  <c r="BV10" i="7"/>
  <c r="AH11" i="7"/>
  <c r="AH12" i="7"/>
  <c r="AH13" i="7"/>
  <c r="AH14" i="7"/>
  <c r="Y14" i="7" s="1"/>
  <c r="AH15" i="7"/>
  <c r="Y15" i="7" s="1"/>
  <c r="AH16" i="7"/>
  <c r="Y16" i="7" s="1"/>
  <c r="AH17" i="7"/>
  <c r="Y17" i="7" s="1"/>
  <c r="AH18" i="7"/>
  <c r="Y18" i="7" s="1"/>
  <c r="AH19" i="7"/>
  <c r="Y19" i="7" s="1"/>
  <c r="AH20" i="7"/>
  <c r="Y20" i="7" s="1"/>
  <c r="AH21" i="7"/>
  <c r="Y21" i="7" s="1"/>
  <c r="AH22" i="7"/>
  <c r="Y22" i="7" s="1"/>
  <c r="AH23" i="7"/>
  <c r="Y23" i="7" s="1"/>
  <c r="AH24" i="7"/>
  <c r="Y24" i="7" s="1"/>
  <c r="AH25" i="7"/>
  <c r="Y25" i="7" s="1"/>
  <c r="AH26" i="7"/>
  <c r="AH27" i="7"/>
  <c r="Y27" i="7" s="1"/>
  <c r="AH28" i="7"/>
  <c r="Y28" i="7" s="1"/>
  <c r="AH29" i="7"/>
  <c r="Y29" i="7" s="1"/>
  <c r="AH30" i="7"/>
  <c r="Y30" i="7" s="1"/>
  <c r="AH31" i="7"/>
  <c r="Y31" i="7" s="1"/>
  <c r="AK11" i="7"/>
  <c r="AK12" i="7"/>
  <c r="AK13" i="7"/>
  <c r="AK14" i="7"/>
  <c r="AK15" i="7"/>
  <c r="AK16" i="7"/>
  <c r="AK17" i="7"/>
  <c r="AK18" i="7"/>
  <c r="AK19" i="7"/>
  <c r="AK20" i="7"/>
  <c r="AK21" i="7"/>
  <c r="AK22" i="7"/>
  <c r="AK23" i="7"/>
  <c r="AK24" i="7"/>
  <c r="AK25" i="7"/>
  <c r="AK26" i="7"/>
  <c r="AK27" i="7"/>
  <c r="AK28" i="7"/>
  <c r="AK29" i="7"/>
  <c r="AK30" i="7"/>
  <c r="AK31" i="7"/>
  <c r="AK10" i="7"/>
  <c r="AH10" i="7"/>
  <c r="O8" i="23" l="1"/>
  <c r="N17" i="23"/>
  <c r="O14" i="23"/>
  <c r="O17" i="23" s="1"/>
  <c r="F9" i="23"/>
  <c r="G9" i="23" s="1"/>
  <c r="Q64" i="16"/>
  <c r="G130" i="17"/>
  <c r="G128" i="17"/>
  <c r="G131" i="17"/>
  <c r="W24" i="21"/>
  <c r="X24" i="21"/>
  <c r="Y24" i="21"/>
  <c r="Z24" i="21"/>
  <c r="AA24" i="21"/>
  <c r="AB24" i="21"/>
  <c r="AC24" i="21"/>
  <c r="AD24" i="21"/>
  <c r="AE24" i="21"/>
  <c r="AF24" i="21"/>
  <c r="AG24" i="21"/>
  <c r="AH24" i="21"/>
  <c r="AI24" i="21"/>
  <c r="AJ24" i="21"/>
  <c r="AK24" i="21"/>
  <c r="AL24" i="21"/>
  <c r="AM24" i="21"/>
  <c r="AN24" i="21"/>
  <c r="AO24" i="21"/>
  <c r="AP24" i="21"/>
  <c r="AQ24" i="21"/>
  <c r="AR24" i="21"/>
  <c r="AS24" i="21"/>
  <c r="AT24" i="21"/>
  <c r="W23" i="21"/>
  <c r="X23" i="21"/>
  <c r="Y23" i="21"/>
  <c r="Z23" i="21"/>
  <c r="AA23" i="21"/>
  <c r="AB23" i="21"/>
  <c r="AC23" i="21"/>
  <c r="AD23" i="21"/>
  <c r="AE23" i="21"/>
  <c r="AF23" i="21"/>
  <c r="AG23" i="21"/>
  <c r="AH23" i="21"/>
  <c r="AI23" i="21"/>
  <c r="AJ23" i="21"/>
  <c r="AK23" i="21"/>
  <c r="AL23" i="21"/>
  <c r="AM23" i="21"/>
  <c r="AN23" i="21"/>
  <c r="AO23" i="21"/>
  <c r="AP23" i="21"/>
  <c r="AQ23" i="21"/>
  <c r="AR23" i="21"/>
  <c r="AS23" i="21"/>
  <c r="AT23" i="21"/>
  <c r="W22" i="21"/>
  <c r="X22" i="21"/>
  <c r="Y22" i="21"/>
  <c r="Z22" i="21"/>
  <c r="AA22" i="21"/>
  <c r="AB22" i="21"/>
  <c r="AC22" i="21"/>
  <c r="AD22" i="21"/>
  <c r="AE22" i="21"/>
  <c r="AF22" i="21"/>
  <c r="AG22" i="21"/>
  <c r="AH22" i="21"/>
  <c r="AI22" i="21"/>
  <c r="AJ22" i="21"/>
  <c r="AK22" i="21"/>
  <c r="AL22" i="21"/>
  <c r="AM22" i="21"/>
  <c r="AN22" i="21"/>
  <c r="AO22" i="21"/>
  <c r="AP22" i="21"/>
  <c r="AQ22" i="21"/>
  <c r="AR22" i="21"/>
  <c r="AS22" i="21"/>
  <c r="AT22" i="21"/>
  <c r="W21" i="21"/>
  <c r="W25" i="21" s="1"/>
  <c r="X21" i="21"/>
  <c r="X25" i="21" s="1"/>
  <c r="Y21" i="21"/>
  <c r="Y25" i="21" s="1"/>
  <c r="Z21" i="21"/>
  <c r="Z25" i="21" s="1"/>
  <c r="AA21" i="21"/>
  <c r="AA25" i="21" s="1"/>
  <c r="AB21" i="21"/>
  <c r="AB25" i="21" s="1"/>
  <c r="AC21" i="21"/>
  <c r="AC25" i="21" s="1"/>
  <c r="AD21" i="21"/>
  <c r="AD25" i="21" s="1"/>
  <c r="AE21" i="21"/>
  <c r="AE25" i="21" s="1"/>
  <c r="AF21" i="21"/>
  <c r="AF25" i="21" s="1"/>
  <c r="AG21" i="21"/>
  <c r="AG25" i="21" s="1"/>
  <c r="AH21" i="21"/>
  <c r="AH25" i="21" s="1"/>
  <c r="AI21" i="21"/>
  <c r="AI25" i="21" s="1"/>
  <c r="AJ21" i="21"/>
  <c r="AJ25" i="21" s="1"/>
  <c r="AK21" i="21"/>
  <c r="AK25" i="21" s="1"/>
  <c r="AL21" i="21"/>
  <c r="AL25" i="21" s="1"/>
  <c r="AM21" i="21"/>
  <c r="AM25" i="21" s="1"/>
  <c r="AN21" i="21"/>
  <c r="AN25" i="21" s="1"/>
  <c r="AO21" i="21"/>
  <c r="AO25" i="21" s="1"/>
  <c r="AP21" i="21"/>
  <c r="AP25" i="21" s="1"/>
  <c r="AQ21" i="21"/>
  <c r="AQ25" i="21" s="1"/>
  <c r="AR21" i="21"/>
  <c r="AR25" i="21" s="1"/>
  <c r="AS21" i="21"/>
  <c r="AS25" i="21" s="1"/>
  <c r="AT21" i="21"/>
  <c r="AT25" i="21" s="1"/>
  <c r="T16" i="21"/>
  <c r="U16" i="21"/>
  <c r="V16" i="21"/>
  <c r="Z16" i="21"/>
  <c r="AB16" i="21"/>
  <c r="AC16" i="21"/>
  <c r="AD16" i="21"/>
  <c r="AE16" i="21"/>
  <c r="AF16" i="21"/>
  <c r="AG16" i="21"/>
  <c r="AH16" i="21"/>
  <c r="AI16" i="21"/>
  <c r="AJ16" i="21"/>
  <c r="AK16" i="21"/>
  <c r="T15" i="21"/>
  <c r="U15" i="21"/>
  <c r="V15" i="21"/>
  <c r="Z15" i="21"/>
  <c r="AB15" i="21"/>
  <c r="AC15" i="21"/>
  <c r="AD15" i="21"/>
  <c r="AE15" i="21"/>
  <c r="AF15" i="21"/>
  <c r="AG15" i="21"/>
  <c r="AH15" i="21"/>
  <c r="AI15" i="21"/>
  <c r="AJ15" i="21"/>
  <c r="AK15" i="21"/>
  <c r="T14" i="21"/>
  <c r="U14" i="21"/>
  <c r="V14" i="21"/>
  <c r="Z14" i="21"/>
  <c r="AB14" i="21"/>
  <c r="AC14" i="21"/>
  <c r="AD14" i="21"/>
  <c r="AE14" i="21"/>
  <c r="AF14" i="21"/>
  <c r="AG14" i="21"/>
  <c r="AH14" i="21"/>
  <c r="AI14" i="21"/>
  <c r="AJ14" i="21"/>
  <c r="AK14" i="21"/>
  <c r="T13" i="21"/>
  <c r="T17" i="21" s="1"/>
  <c r="U13" i="21"/>
  <c r="U17" i="21" s="1"/>
  <c r="V13" i="21"/>
  <c r="V17" i="21" s="1"/>
  <c r="Z13" i="21"/>
  <c r="W17" i="21" s="1"/>
  <c r="AB13" i="21"/>
  <c r="AC13" i="21"/>
  <c r="AD13" i="21"/>
  <c r="AE13" i="21"/>
  <c r="AF13" i="21"/>
  <c r="AG13" i="21"/>
  <c r="AH13" i="21"/>
  <c r="AI13" i="21"/>
  <c r="AJ13" i="21"/>
  <c r="AK13" i="21"/>
  <c r="T7" i="21"/>
  <c r="U7" i="21"/>
  <c r="V7" i="21"/>
  <c r="W7" i="21"/>
  <c r="X7" i="21"/>
  <c r="Y7" i="21"/>
  <c r="Z7" i="21"/>
  <c r="AA7" i="21"/>
  <c r="AB7" i="21"/>
  <c r="AC7" i="21"/>
  <c r="AD7" i="21"/>
  <c r="AE7" i="21"/>
  <c r="AF7" i="21"/>
  <c r="AG7" i="21"/>
  <c r="AH7" i="21"/>
  <c r="T6" i="21"/>
  <c r="U6" i="21"/>
  <c r="V6" i="21"/>
  <c r="W6" i="21"/>
  <c r="X6" i="21"/>
  <c r="Y6" i="21"/>
  <c r="Z6" i="21"/>
  <c r="AA6" i="21"/>
  <c r="AB6" i="21"/>
  <c r="AC6" i="21"/>
  <c r="AD6" i="21"/>
  <c r="AE6" i="21"/>
  <c r="AF6" i="21"/>
  <c r="AG6" i="21"/>
  <c r="AH6" i="21"/>
  <c r="T5" i="21"/>
  <c r="U5" i="21"/>
  <c r="V5" i="21"/>
  <c r="W5" i="21"/>
  <c r="X5" i="21"/>
  <c r="Y5" i="21"/>
  <c r="Z5" i="21"/>
  <c r="AA5" i="21"/>
  <c r="AB5" i="21"/>
  <c r="AC5" i="21"/>
  <c r="AD5" i="21"/>
  <c r="AE5" i="21"/>
  <c r="AF5" i="21"/>
  <c r="AG5" i="21"/>
  <c r="AH5" i="21"/>
  <c r="T4" i="21"/>
  <c r="T8" i="21" s="1"/>
  <c r="U4" i="21"/>
  <c r="U8" i="21" s="1"/>
  <c r="V4" i="21"/>
  <c r="V8" i="21" s="1"/>
  <c r="W4" i="21"/>
  <c r="X4" i="21"/>
  <c r="Y4" i="21"/>
  <c r="Z4" i="21"/>
  <c r="AA4" i="21"/>
  <c r="AB4" i="21"/>
  <c r="AC4" i="21"/>
  <c r="AD4" i="21"/>
  <c r="AE4" i="21"/>
  <c r="AF4" i="21"/>
  <c r="AG4" i="21"/>
  <c r="AH4" i="21"/>
  <c r="BU5" i="17"/>
  <c r="BV5" i="17"/>
  <c r="BT5" i="17"/>
  <c r="BS5" i="17"/>
  <c r="Q54" i="16"/>
  <c r="G125" i="17"/>
  <c r="F132" i="17"/>
  <c r="F118" i="17"/>
  <c r="Q38" i="16"/>
  <c r="Q46" i="16"/>
  <c r="Q30" i="16"/>
  <c r="E9" i="16"/>
  <c r="E31" i="16" s="1"/>
  <c r="AC9" i="16"/>
  <c r="Q9" i="16"/>
  <c r="I10" i="7"/>
  <c r="H10" i="7"/>
  <c r="G10" i="7"/>
  <c r="F10" i="7"/>
  <c r="X11" i="7" a="1"/>
  <c r="X11" i="7" s="1"/>
  <c r="Y11" i="7" s="1"/>
  <c r="X10" i="7" a="1"/>
  <c r="X10" i="7" s="1"/>
  <c r="Y10" i="7" s="1"/>
  <c r="X31" i="7" a="1"/>
  <c r="X31" i="7" s="1"/>
  <c r="X30" i="7" a="1"/>
  <c r="X30" i="7" s="1"/>
  <c r="X29" i="7" a="1"/>
  <c r="X29" i="7" s="1"/>
  <c r="X28" i="7" a="1"/>
  <c r="X28" i="7" s="1"/>
  <c r="X27" i="7" a="1"/>
  <c r="X27" i="7" s="1"/>
  <c r="X25" i="7" a="1"/>
  <c r="X25" i="7" s="1"/>
  <c r="X24" i="7" a="1"/>
  <c r="X24" i="7" s="1"/>
  <c r="X23" i="7" a="1"/>
  <c r="X23" i="7" s="1"/>
  <c r="X22" i="7" a="1"/>
  <c r="X22" i="7" s="1"/>
  <c r="X21" i="7" a="1"/>
  <c r="X21" i="7" s="1"/>
  <c r="X20" i="7" a="1"/>
  <c r="X20" i="7" s="1"/>
  <c r="X19" i="7" a="1"/>
  <c r="X19" i="7" s="1"/>
  <c r="X18" i="7" a="1"/>
  <c r="X18" i="7" s="1"/>
  <c r="X17" i="7" a="1"/>
  <c r="X17" i="7" s="1"/>
  <c r="X16" i="7" a="1"/>
  <c r="X16" i="7" s="1"/>
  <c r="X15" i="7" a="1"/>
  <c r="X15" i="7" s="1"/>
  <c r="X14" i="7" a="1"/>
  <c r="X14" i="7" s="1"/>
  <c r="X13" i="7" a="1"/>
  <c r="X13" i="7" s="1"/>
  <c r="Y13" i="7" s="1"/>
  <c r="X12" i="7" a="1"/>
  <c r="X12" i="7" s="1"/>
  <c r="Y12" i="7" s="1"/>
  <c r="E10" i="7"/>
  <c r="G132" i="17" l="1"/>
  <c r="AG8" i="21"/>
  <c r="AB8" i="21"/>
  <c r="W8" i="21"/>
  <c r="AJ8" i="21"/>
  <c r="AJ17" i="21"/>
  <c r="AG17" i="21"/>
  <c r="AB17" i="21"/>
  <c r="AM17" i="21"/>
  <c r="E32" i="16"/>
  <c r="BS28" i="12"/>
  <c r="DG26" i="12" l="1"/>
  <c r="L26" i="12" s="1"/>
  <c r="BV28" i="12" l="1"/>
  <c r="CC27" i="12"/>
  <c r="H28" i="12" l="1"/>
  <c r="CP27" i="12"/>
  <c r="CF27" i="12"/>
  <c r="CZ27" i="12"/>
  <c r="CZ24" i="12" l="1"/>
  <c r="CZ26" i="12"/>
  <c r="CZ23" i="12"/>
  <c r="CZ20" i="12"/>
  <c r="CZ18" i="12"/>
  <c r="CZ10" i="12"/>
  <c r="CP13" i="12"/>
  <c r="CP15" i="12"/>
  <c r="CP24" i="12"/>
  <c r="CP26" i="12"/>
  <c r="CP23" i="12"/>
  <c r="CP25" i="12"/>
  <c r="CP18" i="12"/>
  <c r="CP10" i="12"/>
  <c r="CF23" i="12"/>
  <c r="CF21" i="12"/>
  <c r="CF18" i="12"/>
  <c r="CF10" i="12"/>
  <c r="CF15" i="12"/>
  <c r="CF24" i="12"/>
  <c r="CF26" i="12"/>
  <c r="CF25" i="12"/>
  <c r="BV25" i="12"/>
  <c r="BV24" i="12"/>
  <c r="BV26" i="12"/>
  <c r="BV23" i="12"/>
  <c r="BV19" i="12"/>
  <c r="BV15" i="12"/>
  <c r="CM13" i="12"/>
  <c r="AI15" i="12" l="1"/>
  <c r="FR15" i="12" s="1"/>
  <c r="BV10" i="12"/>
  <c r="AI10" i="12" s="1"/>
  <c r="FR10" i="12" s="1"/>
  <c r="BV18" i="12"/>
  <c r="AI18" i="12" s="1"/>
  <c r="J13" i="12"/>
  <c r="CM23" i="12"/>
  <c r="BS21" i="12"/>
  <c r="H21" i="12" s="1"/>
  <c r="BS24" i="12"/>
  <c r="CM25" i="12"/>
  <c r="CM26" i="12"/>
  <c r="CW10" i="12"/>
  <c r="L10" i="12"/>
  <c r="CM18" i="12"/>
  <c r="CW20" i="12"/>
  <c r="CW18" i="12"/>
  <c r="CW23" i="12"/>
  <c r="CM15" i="12"/>
  <c r="CW24" i="12"/>
  <c r="BS10" i="12"/>
  <c r="CM10" i="12"/>
  <c r="CM24" i="12"/>
  <c r="DG23" i="12"/>
  <c r="CW26" i="12"/>
  <c r="DG24" i="12"/>
  <c r="BS18" i="12"/>
  <c r="BS26" i="12"/>
  <c r="BS15" i="12"/>
  <c r="BS25" i="12"/>
  <c r="BS23" i="12"/>
  <c r="BS19" i="12"/>
  <c r="CC21" i="12"/>
  <c r="CC24" i="12"/>
  <c r="CC23" i="12"/>
  <c r="CC26" i="12"/>
  <c r="CC18" i="12"/>
  <c r="CC25" i="12"/>
  <c r="CC10" i="12"/>
  <c r="CC15" i="12"/>
  <c r="AH10" i="12" l="1"/>
  <c r="FQ10" i="12" s="1"/>
  <c r="AH15" i="12"/>
  <c r="FQ15" i="12" s="1"/>
  <c r="F127" i="16"/>
  <c r="J127" i="16" s="1"/>
  <c r="FR18" i="12"/>
  <c r="F119" i="16"/>
  <c r="P119" i="16" s="1"/>
  <c r="AK15" i="12"/>
  <c r="F124" i="16"/>
  <c r="J124" i="16" s="1"/>
  <c r="AH18" i="12"/>
  <c r="FQ18" i="12" s="1"/>
  <c r="AK18" i="12"/>
  <c r="AK10" i="12"/>
  <c r="I15" i="12"/>
  <c r="H15" i="12"/>
  <c r="J15" i="12"/>
  <c r="H24" i="12"/>
  <c r="G21" i="12"/>
  <c r="K10" i="12"/>
  <c r="H23" i="12"/>
  <c r="J10" i="12"/>
  <c r="J26" i="12"/>
  <c r="I24" i="12"/>
  <c r="J24" i="12"/>
  <c r="I21" i="12"/>
  <c r="F18" i="12"/>
  <c r="K18" i="12"/>
  <c r="H26" i="12"/>
  <c r="I25" i="12"/>
  <c r="F10" i="12"/>
  <c r="K20" i="12"/>
  <c r="J23" i="12"/>
  <c r="G18" i="12"/>
  <c r="L23" i="12"/>
  <c r="H19" i="12"/>
  <c r="K23" i="12"/>
  <c r="I10" i="12"/>
  <c r="I18" i="12"/>
  <c r="G10" i="12"/>
  <c r="I26" i="12"/>
  <c r="F15" i="12"/>
  <c r="H25" i="12"/>
  <c r="J18" i="12"/>
  <c r="I23" i="12"/>
  <c r="K26" i="12"/>
  <c r="K24" i="12"/>
  <c r="J25" i="12"/>
  <c r="X15" i="12"/>
  <c r="X18" i="12"/>
  <c r="X10" i="12"/>
  <c r="G24" i="12"/>
  <c r="H10" i="12"/>
  <c r="G15" i="12"/>
  <c r="H18" i="12"/>
  <c r="K13" i="12"/>
  <c r="W18" i="12"/>
  <c r="W10" i="12"/>
  <c r="W15" i="12"/>
  <c r="AJ15" i="12" l="1"/>
  <c r="E124" i="16"/>
  <c r="I124" i="16" s="1"/>
  <c r="AJ18" i="12"/>
  <c r="E127" i="16"/>
  <c r="I127" i="16" s="1"/>
  <c r="AJ10" i="12"/>
  <c r="E119" i="16"/>
  <c r="O119" i="16" s="1"/>
  <c r="K18" i="16"/>
  <c r="K17" i="16"/>
  <c r="G19" i="16"/>
  <c r="K19" i="16" l="1"/>
  <c r="F125" i="17" l="1"/>
  <c r="R18" i="12" l="1"/>
  <c r="Y18" i="12" s="1" a="1"/>
  <c r="Y18" i="12" s="1"/>
  <c r="Z18" i="12" s="1"/>
  <c r="AN18" i="12" s="1"/>
  <c r="I49" i="17" s="1"/>
  <c r="R10" i="12"/>
  <c r="Y10" i="12" s="1" a="1"/>
  <c r="Y10" i="12" s="1"/>
  <c r="Z10" i="12" s="1"/>
  <c r="AN10" i="12" s="1"/>
  <c r="I41" i="17" s="1"/>
  <c r="R15" i="12"/>
  <c r="Y15" i="12" s="1" a="1"/>
  <c r="Y15" i="12" s="1"/>
  <c r="Z15" i="12" s="1"/>
  <c r="AN15" i="12" s="1"/>
  <c r="I46" i="17" s="1"/>
  <c r="DJ19" i="12"/>
  <c r="DJ11" i="12"/>
  <c r="DJ20" i="12"/>
  <c r="DJ16" i="12"/>
  <c r="DJ17" i="12"/>
  <c r="DJ22" i="12"/>
  <c r="DJ14" i="12"/>
  <c r="I20" i="12"/>
  <c r="CF14" i="12" l="1"/>
  <c r="CF13" i="12"/>
  <c r="CP11" i="12"/>
  <c r="CP22" i="12"/>
  <c r="BV11" i="12"/>
  <c r="BV14" i="12"/>
  <c r="BV17" i="12"/>
  <c r="CZ16" i="12"/>
  <c r="CF11" i="12"/>
  <c r="BV20" i="12"/>
  <c r="CP16" i="12"/>
  <c r="CZ22" i="12"/>
  <c r="CF17" i="12"/>
  <c r="CZ14" i="12"/>
  <c r="BB24" i="12"/>
  <c r="AI24" i="12" s="1"/>
  <c r="BB21" i="12"/>
  <c r="AI21" i="12" s="1"/>
  <c r="BB26" i="12"/>
  <c r="BB16" i="12"/>
  <c r="BB13" i="12"/>
  <c r="BB22" i="12"/>
  <c r="BB25" i="12"/>
  <c r="BB19" i="12"/>
  <c r="BL26" i="12"/>
  <c r="BL16" i="12"/>
  <c r="BL22" i="12"/>
  <c r="BL13" i="12"/>
  <c r="DG17" i="12"/>
  <c r="L17" i="12" s="1"/>
  <c r="DG19" i="12"/>
  <c r="L19" i="12" s="1"/>
  <c r="DG22" i="12"/>
  <c r="L22" i="12" s="1"/>
  <c r="DG14" i="12"/>
  <c r="L14" i="12" s="1"/>
  <c r="DG11" i="12"/>
  <c r="L11" i="12" s="1"/>
  <c r="DG20" i="12"/>
  <c r="L20" i="12" s="1"/>
  <c r="AI26" i="12" l="1"/>
  <c r="F130" i="16"/>
  <c r="J130" i="16" s="1"/>
  <c r="FR21" i="12"/>
  <c r="F133" i="16"/>
  <c r="J133" i="16" s="1"/>
  <c r="FR24" i="12"/>
  <c r="DT20" i="12"/>
  <c r="FR26" i="12"/>
  <c r="BL25" i="12"/>
  <c r="AI25" i="12" s="1"/>
  <c r="FR25" i="12" s="1"/>
  <c r="CP28" i="12"/>
  <c r="CF20" i="12"/>
  <c r="BL20" i="12"/>
  <c r="BL28" i="12"/>
  <c r="BL11" i="12"/>
  <c r="BB28" i="12"/>
  <c r="BV27" i="12"/>
  <c r="BL23" i="12"/>
  <c r="CF16" i="12"/>
  <c r="CF22" i="12"/>
  <c r="CZ11" i="12"/>
  <c r="CZ19" i="12"/>
  <c r="BL17" i="12"/>
  <c r="BB14" i="12"/>
  <c r="BL14" i="12"/>
  <c r="BL19" i="12"/>
  <c r="BB11" i="12"/>
  <c r="BB17" i="12"/>
  <c r="BV13" i="12"/>
  <c r="X13" i="12" s="1"/>
  <c r="CZ17" i="12"/>
  <c r="CP19" i="12"/>
  <c r="X26" i="12"/>
  <c r="AK21" i="12"/>
  <c r="X21" i="12"/>
  <c r="BV16" i="12"/>
  <c r="CP14" i="12"/>
  <c r="DG16" i="12"/>
  <c r="L16" i="12" s="1"/>
  <c r="DQ16" i="12"/>
  <c r="BL27" i="12"/>
  <c r="BB20" i="12"/>
  <c r="CF28" i="12"/>
  <c r="CP20" i="12"/>
  <c r="CF19" i="12"/>
  <c r="BB27" i="12"/>
  <c r="BV22" i="12"/>
  <c r="BB23" i="12"/>
  <c r="AK24" i="12"/>
  <c r="X24" i="12"/>
  <c r="CP17" i="12"/>
  <c r="BS13" i="12"/>
  <c r="CM28" i="12"/>
  <c r="CC11" i="12"/>
  <c r="I11" i="12" s="1"/>
  <c r="CC14" i="12"/>
  <c r="I14" i="12" s="1"/>
  <c r="BS14" i="12"/>
  <c r="H14" i="12" s="1"/>
  <c r="CC16" i="12"/>
  <c r="CC22" i="12"/>
  <c r="CC19" i="12"/>
  <c r="BS11" i="12"/>
  <c r="H11" i="12" s="1"/>
  <c r="CM20" i="12"/>
  <c r="BS20" i="12"/>
  <c r="H20" i="12" s="1"/>
  <c r="CC20" i="12"/>
  <c r="CW19" i="12"/>
  <c r="CC13" i="12"/>
  <c r="I13" i="12" s="1"/>
  <c r="BS16" i="12"/>
  <c r="BS27" i="12"/>
  <c r="CC17" i="12"/>
  <c r="I17" i="12" s="1"/>
  <c r="BS22" i="12"/>
  <c r="CC28" i="12"/>
  <c r="BS17" i="12"/>
  <c r="H17" i="12" s="1"/>
  <c r="AY14" i="12"/>
  <c r="BI14" i="12"/>
  <c r="AY24" i="12"/>
  <c r="AH24" i="12" s="1"/>
  <c r="AY21" i="12"/>
  <c r="AH21" i="12" s="1"/>
  <c r="AY23" i="12"/>
  <c r="AY11" i="12"/>
  <c r="BI23" i="12"/>
  <c r="AY26" i="12"/>
  <c r="AY17" i="12"/>
  <c r="AY13" i="12"/>
  <c r="AY16" i="12"/>
  <c r="BI17" i="12"/>
  <c r="AY20" i="12"/>
  <c r="AY22" i="12"/>
  <c r="AY25" i="12"/>
  <c r="AY19" i="12"/>
  <c r="BI26" i="12"/>
  <c r="G26" i="12" s="1"/>
  <c r="BI25" i="12"/>
  <c r="BI13" i="12"/>
  <c r="G13" i="12" s="1"/>
  <c r="BI19" i="12"/>
  <c r="BI11" i="12"/>
  <c r="BI20" i="12"/>
  <c r="BI16" i="12"/>
  <c r="G16" i="12" s="1"/>
  <c r="BI22" i="12"/>
  <c r="G22" i="12" s="1"/>
  <c r="BI27" i="12"/>
  <c r="BI28" i="12"/>
  <c r="AY28" i="12"/>
  <c r="AY27" i="12"/>
  <c r="AH25" i="12" l="1"/>
  <c r="FQ25" i="12" s="1"/>
  <c r="AH26" i="12"/>
  <c r="E130" i="16"/>
  <c r="I130" i="16" s="1"/>
  <c r="FQ21" i="12"/>
  <c r="I133" i="16"/>
  <c r="FQ24" i="12"/>
  <c r="AK25" i="12"/>
  <c r="F134" i="16"/>
  <c r="J134" i="16" s="1"/>
  <c r="AK26" i="12"/>
  <c r="F135" i="16"/>
  <c r="J135" i="16" s="1"/>
  <c r="M20" i="12"/>
  <c r="AI20" i="12"/>
  <c r="G20" i="12"/>
  <c r="DT16" i="12"/>
  <c r="M16" i="12" s="1"/>
  <c r="G25" i="12"/>
  <c r="AI23" i="12"/>
  <c r="FR23" i="12" s="1"/>
  <c r="X25" i="12"/>
  <c r="AH27" i="12"/>
  <c r="FQ27" i="12" s="1"/>
  <c r="G11" i="12"/>
  <c r="AI11" i="12"/>
  <c r="FR11" i="12" s="1"/>
  <c r="G28" i="12"/>
  <c r="AH13" i="12"/>
  <c r="FQ13" i="12" s="1"/>
  <c r="J28" i="12"/>
  <c r="AI19" i="12"/>
  <c r="FR19" i="12" s="1"/>
  <c r="FQ26" i="12"/>
  <c r="AI22" i="12"/>
  <c r="FR22" i="12" s="1"/>
  <c r="AI14" i="12"/>
  <c r="FR14" i="12" s="1"/>
  <c r="AI28" i="12"/>
  <c r="FR28" i="12" s="1"/>
  <c r="AH20" i="12"/>
  <c r="FQ20" i="12" s="1"/>
  <c r="AI27" i="12"/>
  <c r="FR27" i="12" s="1"/>
  <c r="AI13" i="12"/>
  <c r="FR13" i="12" s="1"/>
  <c r="AH23" i="12"/>
  <c r="FQ23" i="12" s="1"/>
  <c r="AH28" i="12"/>
  <c r="FQ28" i="12" s="1"/>
  <c r="AI17" i="12"/>
  <c r="FR17" i="12" s="1"/>
  <c r="G14" i="12"/>
  <c r="I22" i="12"/>
  <c r="G19" i="12"/>
  <c r="G23" i="12"/>
  <c r="I16" i="12"/>
  <c r="X11" i="12"/>
  <c r="H22" i="12"/>
  <c r="H27" i="12"/>
  <c r="H13" i="12"/>
  <c r="I19" i="12"/>
  <c r="CW14" i="12"/>
  <c r="K14" i="12" s="1"/>
  <c r="G17" i="12"/>
  <c r="I28" i="12"/>
  <c r="K19" i="12"/>
  <c r="CM19" i="12"/>
  <c r="J19" i="12" s="1"/>
  <c r="J20" i="12"/>
  <c r="CW17" i="12"/>
  <c r="K17" i="12" s="1"/>
  <c r="CM17" i="12"/>
  <c r="J17" i="12" s="1"/>
  <c r="H16" i="12"/>
  <c r="CW16" i="12"/>
  <c r="K16" i="12" s="1"/>
  <c r="CM14" i="12"/>
  <c r="CW22" i="12"/>
  <c r="K22" i="12" s="1"/>
  <c r="CM11" i="12"/>
  <c r="J11" i="12" s="1"/>
  <c r="CM22" i="12"/>
  <c r="J22" i="12" s="1"/>
  <c r="F28" i="12"/>
  <c r="W28" i="12"/>
  <c r="F13" i="12"/>
  <c r="W13" i="12"/>
  <c r="CW11" i="12"/>
  <c r="K11" i="12" s="1"/>
  <c r="R26" i="12"/>
  <c r="Y26" i="12" s="1" a="1"/>
  <c r="Y26" i="12" s="1"/>
  <c r="X27" i="12"/>
  <c r="R28" i="12"/>
  <c r="Y28" i="12" s="1" a="1"/>
  <c r="Y28" i="12" s="1"/>
  <c r="X22" i="12"/>
  <c r="F11" i="12"/>
  <c r="F14" i="12"/>
  <c r="X20" i="12"/>
  <c r="W27" i="12"/>
  <c r="F27" i="12"/>
  <c r="F16" i="12"/>
  <c r="W23" i="12"/>
  <c r="F23" i="12"/>
  <c r="R20" i="12"/>
  <c r="Y20" i="12" s="1" a="1"/>
  <c r="Y20" i="12" s="1"/>
  <c r="F19" i="12"/>
  <c r="R13" i="12"/>
  <c r="Y13" i="12" s="1" a="1"/>
  <c r="Y13" i="12" s="1"/>
  <c r="G27" i="12"/>
  <c r="W25" i="12"/>
  <c r="F25" i="12"/>
  <c r="F17" i="12"/>
  <c r="W21" i="12"/>
  <c r="F21" i="12"/>
  <c r="AJ21" i="12"/>
  <c r="CM16" i="12"/>
  <c r="J16" i="12" s="1"/>
  <c r="X19" i="12"/>
  <c r="F22" i="12"/>
  <c r="F26" i="12"/>
  <c r="W26" i="12"/>
  <c r="F24" i="12"/>
  <c r="W24" i="12"/>
  <c r="AJ24" i="12"/>
  <c r="X23" i="12"/>
  <c r="X28" i="12"/>
  <c r="F20" i="12"/>
  <c r="W20" i="12"/>
  <c r="R24" i="12"/>
  <c r="Y24" i="12" s="1" a="1"/>
  <c r="Y24" i="12" s="1"/>
  <c r="R27" i="12"/>
  <c r="Y27" i="12" s="1" a="1"/>
  <c r="Y27" i="12" s="1"/>
  <c r="X14" i="12"/>
  <c r="X17" i="12"/>
  <c r="R25" i="12"/>
  <c r="Y25" i="12" s="1" a="1"/>
  <c r="Y25" i="12" s="1"/>
  <c r="R21" i="12"/>
  <c r="Y21" i="12" s="1" a="1"/>
  <c r="Y21" i="12" s="1"/>
  <c r="R23" i="12"/>
  <c r="Y23" i="12" s="1" a="1"/>
  <c r="Y23" i="12" s="1"/>
  <c r="F129" i="16" l="1"/>
  <c r="J129" i="16" s="1"/>
  <c r="FR20" i="12"/>
  <c r="F120" i="16"/>
  <c r="J120" i="16" s="1"/>
  <c r="AJ25" i="12"/>
  <c r="E134" i="16"/>
  <c r="I134" i="16" s="1"/>
  <c r="AJ13" i="12"/>
  <c r="E122" i="16"/>
  <c r="I122" i="16" s="1"/>
  <c r="AK28" i="12"/>
  <c r="F137" i="16"/>
  <c r="L137" i="16" s="1"/>
  <c r="AK17" i="12"/>
  <c r="F126" i="16"/>
  <c r="N126" i="16" s="1"/>
  <c r="AK13" i="12"/>
  <c r="F122" i="16"/>
  <c r="J122" i="16" s="1"/>
  <c r="AK20" i="12"/>
  <c r="AJ26" i="12"/>
  <c r="I135" i="16"/>
  <c r="AK27" i="12"/>
  <c r="F136" i="16"/>
  <c r="P136" i="16" s="1"/>
  <c r="AK19" i="12"/>
  <c r="F128" i="16"/>
  <c r="J128" i="16" s="1"/>
  <c r="AK23" i="12"/>
  <c r="F132" i="16"/>
  <c r="L132" i="16" s="1"/>
  <c r="AK14" i="12"/>
  <c r="F123" i="16"/>
  <c r="J123" i="16" s="1"/>
  <c r="AJ28" i="12"/>
  <c r="E137" i="16"/>
  <c r="K137" i="16" s="1"/>
  <c r="AK22" i="12"/>
  <c r="F131" i="16"/>
  <c r="L131" i="16" s="1"/>
  <c r="AJ23" i="12"/>
  <c r="E132" i="16"/>
  <c r="K132" i="16" s="1"/>
  <c r="AJ27" i="12"/>
  <c r="E136" i="16"/>
  <c r="O136" i="16" s="1"/>
  <c r="AJ20" i="12"/>
  <c r="E129" i="16"/>
  <c r="I129" i="16" s="1"/>
  <c r="X16" i="12"/>
  <c r="AI16" i="12"/>
  <c r="AH14" i="12"/>
  <c r="FQ14" i="12" s="1"/>
  <c r="AH16" i="12"/>
  <c r="FQ16" i="12" s="1"/>
  <c r="AH11" i="12"/>
  <c r="FQ11" i="12" s="1"/>
  <c r="AH22" i="12"/>
  <c r="FQ22" i="12" s="1"/>
  <c r="AH19" i="12"/>
  <c r="FQ19" i="12" s="1"/>
  <c r="AH17" i="12"/>
  <c r="FQ17" i="12" s="1"/>
  <c r="AK11" i="12"/>
  <c r="R17" i="12"/>
  <c r="Y17" i="12" s="1" a="1"/>
  <c r="Y17" i="12" s="1"/>
  <c r="W14" i="12"/>
  <c r="R14" i="12"/>
  <c r="Y14" i="12" s="1" a="1"/>
  <c r="Y14" i="12" s="1"/>
  <c r="J14" i="12"/>
  <c r="Z24" i="12"/>
  <c r="AN24" i="12" s="1"/>
  <c r="I55" i="17" s="1"/>
  <c r="Z20" i="12"/>
  <c r="AN20" i="12" s="1"/>
  <c r="I51" i="17" s="1"/>
  <c r="Z26" i="12"/>
  <c r="AN26" i="12" s="1"/>
  <c r="I57" i="17" s="1"/>
  <c r="W17" i="12"/>
  <c r="W19" i="12"/>
  <c r="R19" i="12"/>
  <c r="Y19" i="12" s="1" a="1"/>
  <c r="Y19" i="12" s="1"/>
  <c r="R22" i="12"/>
  <c r="Y22" i="12" s="1" a="1"/>
  <c r="Y22" i="12" s="1"/>
  <c r="R11" i="12"/>
  <c r="Y11" i="12" s="1" a="1"/>
  <c r="Y11" i="12" s="1"/>
  <c r="W22" i="12"/>
  <c r="W11" i="12"/>
  <c r="R16" i="12"/>
  <c r="Y16" i="12" s="1" a="1"/>
  <c r="Y16" i="12" s="1"/>
  <c r="W16" i="12"/>
  <c r="Z25" i="12"/>
  <c r="Z13" i="12"/>
  <c r="Z21" i="12"/>
  <c r="AN21" i="12" s="1"/>
  <c r="I52" i="17" s="1"/>
  <c r="Z27" i="12"/>
  <c r="AN27" i="12" s="1"/>
  <c r="I58" i="17" s="1"/>
  <c r="Z23" i="12"/>
  <c r="AN23" i="12" s="1"/>
  <c r="I54" i="17" s="1"/>
  <c r="Z28" i="12"/>
  <c r="AN28" i="12" s="1"/>
  <c r="I59" i="17" s="1"/>
  <c r="AI7" i="12" l="1"/>
  <c r="G159" i="17" s="1"/>
  <c r="FR16" i="12"/>
  <c r="E120" i="16"/>
  <c r="I120" i="16" s="1"/>
  <c r="AH7" i="12"/>
  <c r="AJ14" i="12"/>
  <c r="E123" i="16"/>
  <c r="I123" i="16" s="1"/>
  <c r="AK16" i="12"/>
  <c r="F125" i="16"/>
  <c r="N125" i="16" s="1"/>
  <c r="AJ17" i="12"/>
  <c r="E126" i="16"/>
  <c r="M126" i="16" s="1"/>
  <c r="AJ19" i="12"/>
  <c r="E128" i="16"/>
  <c r="I128" i="16" s="1"/>
  <c r="AJ22" i="12"/>
  <c r="E131" i="16"/>
  <c r="K131" i="16" s="1"/>
  <c r="AJ16" i="12"/>
  <c r="E125" i="16"/>
  <c r="M125" i="16" s="1"/>
  <c r="AN13" i="12"/>
  <c r="I44" i="17" s="1"/>
  <c r="AN25" i="12"/>
  <c r="I56" i="17" s="1"/>
  <c r="Z17" i="12"/>
  <c r="AN17" i="12" s="1"/>
  <c r="I48" i="17" s="1"/>
  <c r="AJ11" i="12"/>
  <c r="Z14" i="12"/>
  <c r="AN14" i="12" s="1"/>
  <c r="I45" i="17" s="1"/>
  <c r="H115" i="17"/>
  <c r="H117" i="17"/>
  <c r="L117" i="17" s="1"/>
  <c r="H116" i="17"/>
  <c r="H114" i="17"/>
  <c r="Z11" i="12"/>
  <c r="Z19" i="12"/>
  <c r="AN19" i="12" s="1"/>
  <c r="I50" i="17" s="1"/>
  <c r="Z22" i="12"/>
  <c r="AN22" i="12" s="1"/>
  <c r="I53" i="17" s="1"/>
  <c r="Z16" i="12"/>
  <c r="AN16" i="12" s="1"/>
  <c r="I47" i="17" s="1"/>
  <c r="I43" i="17"/>
  <c r="E147" i="17" l="1"/>
  <c r="G158" i="17"/>
  <c r="W60" i="16"/>
  <c r="H121" i="17"/>
  <c r="AE7" i="16"/>
  <c r="AI7" i="16" s="1"/>
  <c r="H118" i="17"/>
  <c r="L118" i="17" s="1"/>
  <c r="G6" i="16"/>
  <c r="K6" i="16" s="1"/>
  <c r="S34" i="16"/>
  <c r="W34" i="16" s="1"/>
  <c r="AN11" i="12"/>
  <c r="I42" i="17" s="1"/>
  <c r="AJ5" i="17" s="1"/>
  <c r="AE5" i="16"/>
  <c r="AI5" i="16" s="1"/>
  <c r="H123" i="17"/>
  <c r="AE8" i="16"/>
  <c r="AI8" i="16" s="1"/>
  <c r="AE6" i="16"/>
  <c r="AI6" i="16" s="1"/>
  <c r="H124" i="17"/>
  <c r="L124" i="17" s="1"/>
  <c r="H122" i="17"/>
  <c r="S28" i="16"/>
  <c r="W28" i="16" s="1"/>
  <c r="S52" i="16"/>
  <c r="S51" i="16"/>
  <c r="S29" i="16"/>
  <c r="W29" i="16" s="1"/>
  <c r="S50" i="16"/>
  <c r="W50" i="16" s="1"/>
  <c r="S5" i="16"/>
  <c r="W5" i="16" s="1"/>
  <c r="G8" i="16"/>
  <c r="K8" i="16" s="1"/>
  <c r="S45" i="16"/>
  <c r="W45" i="16" s="1"/>
  <c r="S8" i="16"/>
  <c r="W8" i="16" s="1"/>
  <c r="S43" i="16"/>
  <c r="W43" i="16" s="1"/>
  <c r="G5" i="16"/>
  <c r="K5" i="16" s="1"/>
  <c r="S6" i="16"/>
  <c r="W6" i="16" s="1"/>
  <c r="S53" i="16"/>
  <c r="S26" i="16"/>
  <c r="W26" i="16" s="1"/>
  <c r="G7" i="16"/>
  <c r="K7" i="16" s="1"/>
  <c r="S7" i="16"/>
  <c r="W7" i="16" s="1"/>
  <c r="S35" i="16"/>
  <c r="W35" i="16" s="1"/>
  <c r="S37" i="16"/>
  <c r="W37" i="16" s="1"/>
  <c r="S42" i="16"/>
  <c r="W42" i="16" s="1"/>
  <c r="S27" i="16"/>
  <c r="W27" i="16" s="1"/>
  <c r="S44" i="16"/>
  <c r="W44" i="16" s="1"/>
  <c r="S36" i="16"/>
  <c r="W36" i="16" s="1"/>
  <c r="BV7" i="17"/>
  <c r="BV10" i="17" s="1"/>
  <c r="BT7" i="17"/>
  <c r="BT10" i="17" s="1"/>
  <c r="BS7" i="17"/>
  <c r="BS10" i="17" s="1"/>
  <c r="BU7" i="17"/>
  <c r="BU10" i="17" s="1"/>
  <c r="W53" i="16" l="1"/>
  <c r="S63" i="16"/>
  <c r="W63" i="16" s="1"/>
  <c r="W51" i="16"/>
  <c r="S61" i="16"/>
  <c r="W52" i="16"/>
  <c r="S62" i="16"/>
  <c r="W62" i="16" s="1"/>
  <c r="V7" i="17"/>
  <c r="AM23" i="17"/>
  <c r="AK16" i="17"/>
  <c r="AN22" i="17"/>
  <c r="W16" i="17"/>
  <c r="AL23" i="17"/>
  <c r="AD21" i="17"/>
  <c r="AG22" i="17"/>
  <c r="AC7" i="17"/>
  <c r="AD4" i="17"/>
  <c r="AL13" i="17"/>
  <c r="AK15" i="17"/>
  <c r="Z22" i="17"/>
  <c r="AI6" i="17"/>
  <c r="Z24" i="17"/>
  <c r="AD5" i="17"/>
  <c r="AG7" i="17"/>
  <c r="AV22" i="17"/>
  <c r="AI24" i="17"/>
  <c r="AA22" i="17"/>
  <c r="AC21" i="17"/>
  <c r="AM22" i="17"/>
  <c r="AF13" i="17"/>
  <c r="AF24" i="17"/>
  <c r="AV21" i="17"/>
  <c r="AH22" i="17"/>
  <c r="AD22" i="17"/>
  <c r="AL15" i="17"/>
  <c r="AN21" i="17"/>
  <c r="AE7" i="17"/>
  <c r="AA7" i="17"/>
  <c r="W14" i="17"/>
  <c r="AM15" i="17"/>
  <c r="AV24" i="17"/>
  <c r="AV23" i="17"/>
  <c r="AD16" i="17"/>
  <c r="AS23" i="17"/>
  <c r="AJ14" i="17"/>
  <c r="V15" i="17"/>
  <c r="AH15" i="17"/>
  <c r="AR21" i="17"/>
  <c r="W7" i="17"/>
  <c r="AG4" i="17"/>
  <c r="AI15" i="17"/>
  <c r="AC24" i="17"/>
  <c r="AJ13" i="17"/>
  <c r="AP24" i="17"/>
  <c r="AJ6" i="17"/>
  <c r="AQ21" i="17"/>
  <c r="AE15" i="17"/>
  <c r="AD7" i="17"/>
  <c r="AK22" i="17"/>
  <c r="AB5" i="17"/>
  <c r="W13" i="17"/>
  <c r="AO22" i="17"/>
  <c r="AE21" i="17"/>
  <c r="AD24" i="17"/>
  <c r="AE6" i="17"/>
  <c r="AG14" i="17"/>
  <c r="AJ21" i="17"/>
  <c r="AH5" i="17"/>
  <c r="AL22" i="17"/>
  <c r="AB22" i="17"/>
  <c r="AN24" i="17"/>
  <c r="AB7" i="17"/>
  <c r="AH24" i="17"/>
  <c r="AO24" i="17"/>
  <c r="AD15" i="17"/>
  <c r="Y23" i="17"/>
  <c r="AT23" i="17"/>
  <c r="AK21" i="17"/>
  <c r="V5" i="17"/>
  <c r="AI16" i="17"/>
  <c r="AH6" i="17"/>
  <c r="Y22" i="17"/>
  <c r="AH4" i="17"/>
  <c r="AG24" i="17"/>
  <c r="AA21" i="17"/>
  <c r="X7" i="17"/>
  <c r="V6" i="17"/>
  <c r="AK14" i="17"/>
  <c r="AU21" i="17"/>
  <c r="AI14" i="17"/>
  <c r="AU22" i="17"/>
  <c r="X14" i="17"/>
  <c r="AI13" i="17"/>
  <c r="AB4" i="17"/>
  <c r="AL21" i="17"/>
  <c r="AF16" i="17"/>
  <c r="AG6" i="17"/>
  <c r="AB6" i="17"/>
  <c r="Y4" i="17"/>
  <c r="Y5" i="17"/>
  <c r="AI4" i="17"/>
  <c r="AG23" i="17"/>
  <c r="Y21" i="17"/>
  <c r="AF23" i="17"/>
  <c r="AJ24" i="17"/>
  <c r="AH7" i="17"/>
  <c r="AE22" i="17"/>
  <c r="AA4" i="17"/>
  <c r="AE14" i="17"/>
  <c r="X6" i="17"/>
  <c r="AF22" i="17"/>
  <c r="AQ22" i="17"/>
  <c r="AJ15" i="17"/>
  <c r="AJ22" i="17"/>
  <c r="AJ4" i="17"/>
  <c r="AI7" i="17"/>
  <c r="AA23" i="17"/>
  <c r="Z6" i="17"/>
  <c r="AC4" i="17"/>
  <c r="V16" i="17"/>
  <c r="AF21" i="17"/>
  <c r="AM24" i="17"/>
  <c r="Y6" i="17"/>
  <c r="AP22" i="17"/>
  <c r="AB14" i="17"/>
  <c r="AP21" i="17"/>
  <c r="X4" i="17"/>
  <c r="Z21" i="17"/>
  <c r="AD14" i="17"/>
  <c r="AB13" i="17"/>
  <c r="AL16" i="17"/>
  <c r="AQ23" i="17"/>
  <c r="X13" i="17"/>
  <c r="AK24" i="17"/>
  <c r="AH13" i="17"/>
  <c r="AH23" i="17"/>
  <c r="AG5" i="17"/>
  <c r="X15" i="17"/>
  <c r="AS22" i="17"/>
  <c r="W15" i="17"/>
  <c r="AE4" i="17"/>
  <c r="AA5" i="17"/>
  <c r="AU24" i="17"/>
  <c r="AD23" i="17"/>
  <c r="W6" i="17"/>
  <c r="AB24" i="17"/>
  <c r="AI23" i="17"/>
  <c r="AK23" i="17"/>
  <c r="AE23" i="17"/>
  <c r="W5" i="17"/>
  <c r="AI21" i="17"/>
  <c r="V13" i="17"/>
  <c r="AR24" i="17"/>
  <c r="AD13" i="17"/>
  <c r="AB15" i="17"/>
  <c r="AT24" i="17"/>
  <c r="AP23" i="17"/>
  <c r="AG15" i="17"/>
  <c r="AH14" i="17"/>
  <c r="Z4" i="17"/>
  <c r="AQ24" i="17"/>
  <c r="AJ23" i="17"/>
  <c r="AD6" i="17"/>
  <c r="AC23" i="17"/>
  <c r="AS24" i="17"/>
  <c r="AM13" i="17"/>
  <c r="AB23" i="17"/>
  <c r="AF7" i="17"/>
  <c r="AS21" i="17"/>
  <c r="AA6" i="17"/>
  <c r="AM14" i="17"/>
  <c r="AJ7" i="17"/>
  <c r="AK13" i="17"/>
  <c r="V4" i="17"/>
  <c r="AM21" i="17"/>
  <c r="AG16" i="17"/>
  <c r="AR22" i="17"/>
  <c r="AF4" i="17"/>
  <c r="AO21" i="17"/>
  <c r="AT22" i="17"/>
  <c r="X5" i="17"/>
  <c r="AU23" i="17"/>
  <c r="AC6" i="17"/>
  <c r="AT21" i="17"/>
  <c r="AL24" i="17"/>
  <c r="AB16" i="17"/>
  <c r="AE13" i="17"/>
  <c r="AB21" i="17"/>
  <c r="AA24" i="17"/>
  <c r="AF14" i="17"/>
  <c r="AN23" i="17"/>
  <c r="Z7" i="17"/>
  <c r="AF6" i="17"/>
  <c r="AE5" i="17"/>
  <c r="AG21" i="17"/>
  <c r="AF5" i="17"/>
  <c r="AO23" i="17"/>
  <c r="AC5" i="17"/>
  <c r="AE24" i="17"/>
  <c r="AH21" i="17"/>
  <c r="W4" i="17"/>
  <c r="H130" i="17"/>
  <c r="X16" i="17"/>
  <c r="AR23" i="17"/>
  <c r="Z23" i="17"/>
  <c r="AG13" i="17"/>
  <c r="AL14" i="17"/>
  <c r="AC22" i="17"/>
  <c r="AI22" i="17"/>
  <c r="AM16" i="17"/>
  <c r="AH16" i="17"/>
  <c r="AI5" i="17"/>
  <c r="AE16" i="17"/>
  <c r="Y24" i="17"/>
  <c r="V14" i="17"/>
  <c r="H129" i="17"/>
  <c r="AF15" i="17"/>
  <c r="H131" i="17"/>
  <c r="L131" i="17" s="1"/>
  <c r="AJ16" i="17"/>
  <c r="Z5" i="17"/>
  <c r="Y7" i="17"/>
  <c r="H128" i="17"/>
  <c r="H125" i="17"/>
  <c r="L125" i="17" s="1"/>
  <c r="AE9" i="16"/>
  <c r="AI9" i="16"/>
  <c r="K9" i="16"/>
  <c r="W46" i="16"/>
  <c r="S46" i="16"/>
  <c r="W30" i="16"/>
  <c r="S30" i="16"/>
  <c r="G9" i="16"/>
  <c r="G31" i="16" s="1"/>
  <c r="K31" i="16" s="1"/>
  <c r="S38" i="16"/>
  <c r="W38" i="16"/>
  <c r="S9" i="16"/>
  <c r="W9" i="16"/>
  <c r="S54" i="16"/>
  <c r="BW10" i="17"/>
  <c r="W54" i="16" l="1"/>
  <c r="W61" i="16"/>
  <c r="W64" i="16" s="1"/>
  <c r="S64" i="16"/>
  <c r="AV25" i="17"/>
  <c r="AD25" i="17"/>
  <c r="AH25" i="17"/>
  <c r="AN25" i="17"/>
  <c r="AJ25" i="17"/>
  <c r="W17" i="17"/>
  <c r="V8" i="17"/>
  <c r="AL25" i="17"/>
  <c r="AM25" i="17"/>
  <c r="AC25" i="17"/>
  <c r="AR25" i="17"/>
  <c r="AB25" i="17"/>
  <c r="Y25" i="17"/>
  <c r="AO25" i="17"/>
  <c r="AK25" i="17"/>
  <c r="X8" i="17"/>
  <c r="AS25" i="17"/>
  <c r="AU25" i="17"/>
  <c r="AI25" i="17"/>
  <c r="AP25" i="17"/>
  <c r="Y17" i="17"/>
  <c r="AA25" i="17"/>
  <c r="AT25" i="17"/>
  <c r="AE25" i="17"/>
  <c r="AI8" i="17"/>
  <c r="X17" i="17"/>
  <c r="AG25" i="17"/>
  <c r="AI17" i="17"/>
  <c r="W8" i="17"/>
  <c r="AQ25" i="17"/>
  <c r="AF25" i="17"/>
  <c r="V17" i="17"/>
  <c r="Z25" i="17"/>
  <c r="AD8" i="17"/>
  <c r="AL17" i="17"/>
  <c r="AD17" i="17"/>
  <c r="H132" i="17"/>
  <c r="L132" i="17" s="1"/>
  <c r="Y8" i="17"/>
  <c r="G32" i="16"/>
  <c r="K32" i="16" s="1"/>
  <c r="AL8" i="17" l="1"/>
  <c r="AO17"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Sin Fah, Michael Lee</author>
  </authors>
  <commentList>
    <comment ref="BJ27" authorId="0" shapeId="0" xr:uid="{6C223A41-0043-4CEE-BD43-5F540C0F1317}">
      <text>
        <r>
          <rPr>
            <sz val="8"/>
            <rFont val="Meiryo UI"/>
            <family val="3"/>
            <charset val="128"/>
          </rPr>
          <t xml:space="preserve">Sin Fah, Michael Lee:
No Findings data.
Count from Review List (17)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<sst xmlns="http://schemas.openxmlformats.org/spreadsheetml/2006/main" count="6926" uniqueCount="1973">
  <si>
    <t>evaluation concept</t>
    <phoneticPr fontId="3"/>
  </si>
  <si>
    <t>Quantitative Assessment (Completion Status/Productivity/Quality)</t>
  </si>
  <si>
    <t>Due Date
compliance rate</t>
    <phoneticPr fontId="3"/>
  </si>
  <si>
    <t>Qualitative Assessment (Attendance/Motivation/Growth/Contribution)</t>
  </si>
  <si>
    <t>evaluation unit</t>
  </si>
  <si>
    <t>Task1</t>
  </si>
  <si>
    <t>Task2</t>
  </si>
  <si>
    <t>・・・</t>
  </si>
  <si>
    <t>Task X</t>
  </si>
  <si>
    <t>All Tasks</t>
    <phoneticPr fontId="3"/>
  </si>
  <si>
    <t>attendance status</t>
  </si>
  <si>
    <t>Attitude/Motivation</t>
  </si>
  <si>
    <t>degree of growth</t>
  </si>
  <si>
    <t>team contribution</t>
    <phoneticPr fontId="3"/>
  </si>
  <si>
    <t>productivity</t>
    <phoneticPr fontId="3"/>
  </si>
  <si>
    <t>Quality</t>
    <phoneticPr fontId="3"/>
  </si>
  <si>
    <t>rating score</t>
  </si>
  <si>
    <t>Out of a total of 75</t>
    <phoneticPr fontId="3"/>
  </si>
  <si>
    <t>5 out of 5</t>
  </si>
  <si>
    <t>Quantitative Assessment: 75 points divided by the number of tasks multiplied by 2 times the total number of KPIs achieved for productivity and quality</t>
    <phoneticPr fontId="3"/>
  </si>
  <si>
    <t>Promise Rate: The percentage of tasks that can be completed out of the number of tasks that should be handled within the transfer phase period is determined by:</t>
    <phoneticPr fontId="3"/>
  </si>
  <si>
    <t>5 points:</t>
    <phoneticPr fontId="3"/>
  </si>
  <si>
    <t>80% or more</t>
    <phoneticPr fontId="3"/>
  </si>
  <si>
    <t>3 points:</t>
    <phoneticPr fontId="3"/>
  </si>
  <si>
    <t>60% or more</t>
    <phoneticPr fontId="3"/>
  </si>
  <si>
    <t>1 point:</t>
    <phoneticPr fontId="3"/>
  </si>
  <si>
    <t>20% or more</t>
    <phoneticPr fontId="3"/>
  </si>
  <si>
    <t>0 points:</t>
    <phoneticPr fontId="3"/>
  </si>
  <si>
    <t>Less than 20%</t>
    <phoneticPr fontId="3"/>
  </si>
  <si>
    <t>Attendance status: Attendance status is determined by the following</t>
    <phoneticPr fontId="3"/>
  </si>
  <si>
    <t>Only planned leave can recover progress</t>
    <phoneticPr fontId="3"/>
  </si>
  <si>
    <t>Progress can be recovered, although unplanned vacations and absences are noticeable</t>
    <phoneticPr fontId="3"/>
  </si>
  <si>
    <t>Unplanned leave and absenteeism are conspicuous and adversely affect progress</t>
    <phoneticPr fontId="3"/>
  </si>
  <si>
    <t>Attitude/Willingness: The attitude toward work and willingness to acquire know-how are determined by the following</t>
    <phoneticPr fontId="3"/>
  </si>
  <si>
    <t>Has a willingness to learn and a high degree of know-how acquisition</t>
    <phoneticPr fontId="3"/>
  </si>
  <si>
    <t>have acquired the know-how given to</t>
    <phoneticPr fontId="3"/>
  </si>
  <si>
    <t>Low awareness of know-how acquisition</t>
    <phoneticPr fontId="3"/>
  </si>
  <si>
    <t>Growth: Knowledge acquisition during the skill transfer period and future growth potential</t>
    <phoneticPr fontId="3"/>
  </si>
  <si>
    <t>Acquired conversion work know-how</t>
    <phoneticPr fontId="3"/>
  </si>
  <si>
    <t>There is a weakness in the acquisition of some know-how, but it is expected to be possible in the future.</t>
    <phoneticPr fontId="3"/>
  </si>
  <si>
    <t>Knowledge acquisition is limited and future acquisition is not expected.</t>
    <phoneticPr fontId="3"/>
  </si>
  <si>
    <t>Team contribution: Contributions related to awareness of team work and development of know-how are judged below.</t>
    <phoneticPr fontId="3"/>
  </si>
  <si>
    <t>He is a member of the team who is ahead of the work and is able to develop the know-how learned earlier.</t>
    <phoneticPr fontId="3"/>
  </si>
  <si>
    <t>Participating in team collaboration and sharing information</t>
    <phoneticPr fontId="3"/>
  </si>
  <si>
    <t>Low participation in team collaboration opportunities</t>
    <phoneticPr fontId="3"/>
  </si>
  <si>
    <t>評価の考え方</t>
    <phoneticPr fontId="10"/>
  </si>
  <si>
    <t>定量評価(完了状態/生産性/品質)</t>
  </si>
  <si>
    <t>納期
遵守率</t>
    <rPh sb="0" eb="2">
      <t>ノウキ</t>
    </rPh>
    <rPh sb="3" eb="5">
      <t>ジュンシュ</t>
    </rPh>
    <rPh sb="5" eb="6">
      <t>リツ</t>
    </rPh>
    <phoneticPr fontId="10"/>
  </si>
  <si>
    <t>定性評価(勤怠/意欲/成長/貢献)</t>
  </si>
  <si>
    <t>評価単位</t>
  </si>
  <si>
    <t>全Task</t>
    <rPh sb="0" eb="1">
      <t>ゼン</t>
    </rPh>
    <phoneticPr fontId="10"/>
  </si>
  <si>
    <t>勤怠状況</t>
  </si>
  <si>
    <t>姿勢/意欲</t>
  </si>
  <si>
    <t>成長度</t>
  </si>
  <si>
    <t>チーム貢献</t>
    <rPh sb="3" eb="5">
      <t>コウケン</t>
    </rPh>
    <phoneticPr fontId="10"/>
  </si>
  <si>
    <t>生産性</t>
    <rPh sb="0" eb="3">
      <t>セイサンセイ</t>
    </rPh>
    <phoneticPr fontId="10"/>
  </si>
  <si>
    <t>品質</t>
    <rPh sb="0" eb="2">
      <t>ヒンシツ</t>
    </rPh>
    <phoneticPr fontId="10"/>
  </si>
  <si>
    <t>評価点数</t>
  </si>
  <si>
    <t>合計75点満点</t>
    <phoneticPr fontId="10"/>
  </si>
  <si>
    <t>5点満点</t>
  </si>
  <si>
    <t xml:space="preserve">5点満点 </t>
  </si>
  <si>
    <t>定量評価：75点÷Task数×２×生産性、品質のKPIを達成した数　の　合計点数を計上</t>
    <rPh sb="0" eb="4">
      <t>テイリョウヒョウカ</t>
    </rPh>
    <phoneticPr fontId="10"/>
  </si>
  <si>
    <t>Quantitative Assessment: 75 points divided by the number of tasks multiplied by 2 times the total number of KPIs achieved for productivity and quality</t>
  </si>
  <si>
    <t>納期遵守率：移管フェーズ期間内に対応すべきTask数のうち完成できたTaskの割合を以下で判断</t>
    <rPh sb="0" eb="5">
      <t>ノウキジュンシュリツ</t>
    </rPh>
    <rPh sb="6" eb="8">
      <t>イカン</t>
    </rPh>
    <rPh sb="12" eb="15">
      <t>キカンナイ</t>
    </rPh>
    <rPh sb="16" eb="18">
      <t>タイオウ</t>
    </rPh>
    <rPh sb="25" eb="26">
      <t>カズ</t>
    </rPh>
    <rPh sb="29" eb="31">
      <t>カンセイ</t>
    </rPh>
    <rPh sb="39" eb="41">
      <t>ワリアイ</t>
    </rPh>
    <rPh sb="42" eb="44">
      <t>イカ</t>
    </rPh>
    <rPh sb="45" eb="47">
      <t>ハンダン</t>
    </rPh>
    <phoneticPr fontId="10"/>
  </si>
  <si>
    <t>on-time compliance rate:  The percentage of tasks that can be completed out of the number of tasks that should be handled during the transfer phase is determined by:</t>
  </si>
  <si>
    <t>５点：</t>
    <rPh sb="1" eb="2">
      <t>テン</t>
    </rPh>
    <phoneticPr fontId="10"/>
  </si>
  <si>
    <t>80%以上</t>
    <phoneticPr fontId="10"/>
  </si>
  <si>
    <t>5 points:</t>
  </si>
  <si>
    <t>more than 80%</t>
  </si>
  <si>
    <t>３点：</t>
    <rPh sb="1" eb="2">
      <t>テン</t>
    </rPh>
    <phoneticPr fontId="10"/>
  </si>
  <si>
    <t>60%以上</t>
    <phoneticPr fontId="10"/>
  </si>
  <si>
    <t>3 points:</t>
  </si>
  <si>
    <t>more than 60%</t>
  </si>
  <si>
    <t>１点：</t>
    <rPh sb="1" eb="2">
      <t>テン</t>
    </rPh>
    <phoneticPr fontId="10"/>
  </si>
  <si>
    <t>20%以上</t>
    <phoneticPr fontId="10"/>
  </si>
  <si>
    <t>1 point:</t>
  </si>
  <si>
    <t>more than 20%</t>
  </si>
  <si>
    <t>０点：</t>
    <rPh sb="1" eb="2">
      <t>テン</t>
    </rPh>
    <phoneticPr fontId="10"/>
  </si>
  <si>
    <t>20%未満</t>
    <phoneticPr fontId="10"/>
  </si>
  <si>
    <t>0 points:</t>
  </si>
  <si>
    <t>less than 20%</t>
  </si>
  <si>
    <t>勤怠状況：勤怠の状況を以下で判断</t>
    <rPh sb="0" eb="4">
      <t>キンタイジョウキョウ</t>
    </rPh>
    <rPh sb="5" eb="7">
      <t>キンタイ</t>
    </rPh>
    <rPh sb="8" eb="10">
      <t>ジョウキョウ</t>
    </rPh>
    <rPh sb="11" eb="13">
      <t>イカ</t>
    </rPh>
    <rPh sb="14" eb="16">
      <t>ハンダン</t>
    </rPh>
    <phoneticPr fontId="10"/>
  </si>
  <si>
    <t>Attendance status:Attendance status is determined by the following</t>
  </si>
  <si>
    <t>計画休暇のみ、進捗もリカバリできている</t>
    <phoneticPr fontId="10"/>
  </si>
  <si>
    <t>Only planned leave, and recover progress</t>
  </si>
  <si>
    <t>計画外休暇・欠勤が目立つが、進捗はリカバリできている</t>
    <phoneticPr fontId="10"/>
  </si>
  <si>
    <t>Progress is recoverable, although unplanned vacations and absences are noticeable</t>
  </si>
  <si>
    <t>計画外休暇・欠勤が目立ち、進捗に悪影響あり</t>
    <phoneticPr fontId="10"/>
  </si>
  <si>
    <t>Unplanned leave and absenteeism are conspicuous and adversely affect progress</t>
  </si>
  <si>
    <t>姿勢/意欲：仕事に取組む姿勢やノウハウ習得に対する意欲を以下で判断</t>
  </si>
  <si>
    <t>Attitude/willingness to work:The attitude to work and willingness to acquire know-how are judged by the following</t>
  </si>
  <si>
    <t>積極的に学ぶ姿勢があり、ノウハウ習得度が高い</t>
  </si>
  <si>
    <t>Has a willingness to learn and a high degree of know-how acquisition</t>
  </si>
  <si>
    <t>与えられたノウハウは習得できている</t>
    <rPh sb="0" eb="1">
      <t>アタ</t>
    </rPh>
    <rPh sb="10" eb="12">
      <t>シュウトク</t>
    </rPh>
    <phoneticPr fontId="10"/>
  </si>
  <si>
    <t>Have acquired the know-how given to</t>
  </si>
  <si>
    <t>ノウハウ習得に対する意識が低い</t>
    <rPh sb="4" eb="6">
      <t>シュウトク</t>
    </rPh>
    <rPh sb="7" eb="8">
      <t>タイ</t>
    </rPh>
    <rPh sb="10" eb="12">
      <t>イシキ</t>
    </rPh>
    <rPh sb="13" eb="14">
      <t>ヒク</t>
    </rPh>
    <phoneticPr fontId="10"/>
  </si>
  <si>
    <t>Low awareness of know-how acquisition</t>
  </si>
  <si>
    <t>成長度：スキルトランスファー期間におけるノウハウ習得度および今後の成長性</t>
  </si>
  <si>
    <t>Degree of growth: Knowledge acquisition and future growth potential during the skill transfer period</t>
  </si>
  <si>
    <t>コンバート作業ノウハウを習得済</t>
    <rPh sb="5" eb="7">
      <t>サギョウ</t>
    </rPh>
    <rPh sb="12" eb="15">
      <t>シュウトクスミ</t>
    </rPh>
    <phoneticPr fontId="10"/>
  </si>
  <si>
    <t>Acquired conversion work know-how</t>
  </si>
  <si>
    <t>一部ノウハウの習得に弱点は見られるが今後習得可能と見込みあり</t>
    <rPh sb="0" eb="2">
      <t>イチブ</t>
    </rPh>
    <rPh sb="7" eb="9">
      <t>シュウトク</t>
    </rPh>
    <rPh sb="10" eb="12">
      <t>ジャクテン</t>
    </rPh>
    <rPh sb="13" eb="14">
      <t>ミ</t>
    </rPh>
    <rPh sb="18" eb="20">
      <t>コンゴ</t>
    </rPh>
    <rPh sb="20" eb="22">
      <t>シュウトク</t>
    </rPh>
    <rPh sb="22" eb="24">
      <t>カノウ</t>
    </rPh>
    <rPh sb="25" eb="27">
      <t>ミコ</t>
    </rPh>
    <phoneticPr fontId="10"/>
  </si>
  <si>
    <t>There is a weakness in the acquisition of some know-how, but it is expected to be possible in the future</t>
  </si>
  <si>
    <t>ノウハウ習得は限定的で今後の習得も見込めない</t>
    <rPh sb="4" eb="6">
      <t>シュウトク</t>
    </rPh>
    <rPh sb="7" eb="10">
      <t>ゲンテイテキ</t>
    </rPh>
    <rPh sb="11" eb="13">
      <t>コンゴ</t>
    </rPh>
    <rPh sb="14" eb="16">
      <t>シュウトク</t>
    </rPh>
    <rPh sb="17" eb="19">
      <t>ミコ</t>
    </rPh>
    <phoneticPr fontId="10"/>
  </si>
  <si>
    <t>Knowledge acquisition is limited and future acquisition is not expected</t>
  </si>
  <si>
    <t>チーム貢献：チーム作業に対する意識やノウハウ横展開などに関する貢献を以下で判断</t>
  </si>
  <si>
    <t>Team contribution: Contributions regarding awareness of team work and development of know-how are judged below.</t>
  </si>
  <si>
    <t>チーム内で作業先行するメンバーであり先に学んだノウハウの横展開ができている</t>
    <rPh sb="3" eb="4">
      <t>ナイ</t>
    </rPh>
    <rPh sb="5" eb="7">
      <t>サギョウ</t>
    </rPh>
    <rPh sb="7" eb="9">
      <t>センコウ</t>
    </rPh>
    <rPh sb="18" eb="19">
      <t>サキ</t>
    </rPh>
    <rPh sb="20" eb="21">
      <t>マナ</t>
    </rPh>
    <rPh sb="28" eb="31">
      <t>ヨコテンカイ</t>
    </rPh>
    <phoneticPr fontId="10"/>
  </si>
  <si>
    <t>Member is ahead of the work and is able to develop the know-how learned earlier.</t>
  </si>
  <si>
    <t>チームコラボレーションの場に参加し情報共有ができている</t>
    <rPh sb="12" eb="13">
      <t>バ</t>
    </rPh>
    <rPh sb="14" eb="16">
      <t>サンカ</t>
    </rPh>
    <rPh sb="17" eb="19">
      <t>ジョウホウ</t>
    </rPh>
    <rPh sb="19" eb="21">
      <t>キョウユウ</t>
    </rPh>
    <phoneticPr fontId="10"/>
  </si>
  <si>
    <t>Participating in team collaboration and sharing information</t>
  </si>
  <si>
    <t>チームコラボレーションの場への参加率が低い</t>
    <rPh sb="12" eb="13">
      <t>バ</t>
    </rPh>
    <rPh sb="15" eb="18">
      <t>サンカリツ</t>
    </rPh>
    <rPh sb="19" eb="20">
      <t>ヒク</t>
    </rPh>
    <phoneticPr fontId="10"/>
  </si>
  <si>
    <t>Low participation in team collaboration opportunities</t>
  </si>
  <si>
    <t>移管 Evaluation Summary</t>
    <rPh sb="0" eb="2">
      <t>イカン</t>
    </rPh>
    <phoneticPr fontId="3"/>
  </si>
  <si>
    <t>KPI</t>
    <phoneticPr fontId="3"/>
  </si>
  <si>
    <t>Team XX</t>
    <phoneticPr fontId="3"/>
  </si>
  <si>
    <t>①60.0% or more of standard productivity</t>
    <phoneticPr fontId="3"/>
  </si>
  <si>
    <t>②on-time compliance rate is 80%</t>
    <phoneticPr fontId="3"/>
  </si>
  <si>
    <t>③Up to 8 app errors per Kstep</t>
    <phoneticPr fontId="3"/>
  </si>
  <si>
    <t>④All Rev pointed out actions completed</t>
    <phoneticPr fontId="3"/>
  </si>
  <si>
    <t>Task 1</t>
  </si>
  <si>
    <t>Task 2</t>
    <phoneticPr fontId="3"/>
  </si>
  <si>
    <t>Task 3</t>
    <phoneticPr fontId="3"/>
  </si>
  <si>
    <t>Task 4</t>
    <phoneticPr fontId="3"/>
  </si>
  <si>
    <t>Task 5</t>
    <phoneticPr fontId="3"/>
  </si>
  <si>
    <t>Task 6</t>
    <phoneticPr fontId="3"/>
  </si>
  <si>
    <t>Task 7</t>
    <phoneticPr fontId="3"/>
  </si>
  <si>
    <t>Task 8</t>
    <phoneticPr fontId="3"/>
  </si>
  <si>
    <t>Task 9</t>
    <phoneticPr fontId="3"/>
  </si>
  <si>
    <t>Task 10</t>
    <phoneticPr fontId="3"/>
  </si>
  <si>
    <t>Task 11</t>
    <phoneticPr fontId="3"/>
  </si>
  <si>
    <t>Task 12</t>
    <phoneticPr fontId="3"/>
  </si>
  <si>
    <t>Progress</t>
    <phoneticPr fontId="3"/>
  </si>
  <si>
    <t>Quantitative evaluation</t>
    <phoneticPr fontId="3"/>
  </si>
  <si>
    <t>Comments</t>
    <phoneticPr fontId="3"/>
  </si>
  <si>
    <t>Root Cause Analysis</t>
    <phoneticPr fontId="3"/>
  </si>
  <si>
    <t>②Up to 8 app errors per Kstep</t>
    <phoneticPr fontId="3"/>
  </si>
  <si>
    <t>③Rev pointed</t>
    <phoneticPr fontId="3"/>
  </si>
  <si>
    <t>Members</t>
    <phoneticPr fontId="3"/>
  </si>
  <si>
    <t>Level</t>
    <phoneticPr fontId="3"/>
  </si>
  <si>
    <t>Number of tasks</t>
    <phoneticPr fontId="3"/>
  </si>
  <si>
    <t>Task 2</t>
  </si>
  <si>
    <t>Task 3</t>
  </si>
  <si>
    <t>Task 4</t>
  </si>
  <si>
    <t>Task 5</t>
  </si>
  <si>
    <t>on-time compliance rate</t>
    <phoneticPr fontId="3"/>
  </si>
  <si>
    <t>Attitude/willingness to work</t>
  </si>
  <si>
    <t>team contribution</t>
  </si>
  <si>
    <t>productivity score</t>
    <phoneticPr fontId="3"/>
  </si>
  <si>
    <t>quality score</t>
    <phoneticPr fontId="3"/>
  </si>
  <si>
    <t>delivery score</t>
    <phoneticPr fontId="3"/>
  </si>
  <si>
    <t>quantitative evaluation score</t>
    <phoneticPr fontId="3"/>
  </si>
  <si>
    <t>（Productivity, Quality,
　 and Team Contribution）</t>
    <phoneticPr fontId="3"/>
  </si>
  <si>
    <t>PH
evaluation
(◎/○/△/×)</t>
    <phoneticPr fontId="3"/>
  </si>
  <si>
    <t>Measures</t>
    <phoneticPr fontId="3"/>
  </si>
  <si>
    <t>Target</t>
    <phoneticPr fontId="3"/>
  </si>
  <si>
    <t>Complete</t>
    <phoneticPr fontId="3"/>
  </si>
  <si>
    <t>standard
productivity</t>
    <phoneticPr fontId="3"/>
  </si>
  <si>
    <t>actual
effort</t>
  </si>
  <si>
    <t>attainment
rate</t>
    <phoneticPr fontId="3"/>
  </si>
  <si>
    <t>Kstep</t>
    <phoneticPr fontId="3"/>
  </si>
  <si>
    <t>app error count</t>
    <phoneticPr fontId="3"/>
  </si>
  <si>
    <t>app error rate</t>
    <phoneticPr fontId="3"/>
  </si>
  <si>
    <t>Number of
points</t>
    <phoneticPr fontId="3"/>
  </si>
  <si>
    <t>Number of
Responded
Cases</t>
    <phoneticPr fontId="3"/>
  </si>
  <si>
    <t>actual
effort</t>
    <phoneticPr fontId="3"/>
  </si>
  <si>
    <t>A</t>
    <phoneticPr fontId="3"/>
  </si>
  <si>
    <t>Sr</t>
    <phoneticPr fontId="3"/>
  </si>
  <si>
    <t>○</t>
  </si>
  <si>
    <t>Kumamoto
KU03XXX1</t>
    <phoneticPr fontId="3"/>
  </si>
  <si>
    <t>B</t>
    <phoneticPr fontId="3"/>
  </si>
  <si>
    <t>Mid</t>
    <phoneticPr fontId="3"/>
  </si>
  <si>
    <t>Kumamoto
KU03XXX2</t>
  </si>
  <si>
    <t>C</t>
    <phoneticPr fontId="3"/>
  </si>
  <si>
    <t>△</t>
  </si>
  <si>
    <t>Kumamoto
KU03XXX3</t>
  </si>
  <si>
    <t>D</t>
    <phoneticPr fontId="3"/>
  </si>
  <si>
    <t>Jr</t>
    <phoneticPr fontId="3"/>
  </si>
  <si>
    <t>×</t>
  </si>
  <si>
    <t>Kumamoto
KU03XXX4</t>
  </si>
  <si>
    <t>BSE 1</t>
    <phoneticPr fontId="3"/>
  </si>
  <si>
    <t>BSE Sr</t>
    <phoneticPr fontId="3"/>
  </si>
  <si>
    <t>-</t>
    <phoneticPr fontId="3"/>
  </si>
  <si>
    <t>No problem with translation ability</t>
    <phoneticPr fontId="3"/>
  </si>
  <si>
    <t>BSE 2</t>
    <phoneticPr fontId="3"/>
  </si>
  <si>
    <t>BSE Mid</t>
    <phoneticPr fontId="3"/>
  </si>
  <si>
    <t>Reading and writing are OK, but translation of conversations is not accurate.</t>
    <phoneticPr fontId="3"/>
  </si>
  <si>
    <t>注意すべき指摘内容</t>
  </si>
  <si>
    <t>Team A</t>
    <phoneticPr fontId="3"/>
  </si>
  <si>
    <t>Complete</t>
    <phoneticPr fontId="10"/>
  </si>
  <si>
    <t>１．単純ミス</t>
  </si>
  <si>
    <t>○：～1/22</t>
    <phoneticPr fontId="10"/>
  </si>
  <si>
    <t>２．テストケース理解不足</t>
  </si>
  <si>
    <t>△：1/23～</t>
    <phoneticPr fontId="10"/>
  </si>
  <si>
    <t>３．画面編集ミス</t>
  </si>
  <si>
    <t>Dongon, Joselle</t>
  </si>
  <si>
    <t>４．テストデータ不備</t>
  </si>
  <si>
    <t>QA Analysis</t>
  </si>
  <si>
    <t>Review Analysis</t>
  </si>
  <si>
    <t>RTO/TW</t>
  </si>
  <si>
    <t>attendance status</t>
    <phoneticPr fontId="3"/>
  </si>
  <si>
    <t>Attitude/willingness to work</t>
    <phoneticPr fontId="3"/>
  </si>
  <si>
    <t>degree of growth</t>
    <phoneticPr fontId="3"/>
  </si>
  <si>
    <t>evaluation
(○/△/×)</t>
  </si>
  <si>
    <t>analysis</t>
  </si>
  <si>
    <t>Completion
rate</t>
  </si>
  <si>
    <t>Average
Productivity</t>
  </si>
  <si>
    <t>Average
Quality</t>
  </si>
  <si>
    <t>Productivity</t>
  </si>
  <si>
    <t>Quality</t>
  </si>
  <si>
    <t>Reason why low</t>
  </si>
  <si>
    <t>JUSTIFICATION why OK to proceed to next Phase</t>
  </si>
  <si>
    <t>Score
evaluation
(◎/○/△/×)</t>
  </si>
  <si>
    <t>PH
evaluation
(◎/○/△/×)</t>
  </si>
  <si>
    <t>Target of evaluation
(Jan. 23)</t>
    <phoneticPr fontId="10"/>
  </si>
  <si>
    <t>Target of evaluation
(Jan. 31)</t>
  </si>
  <si>
    <t>Target of evaluation
(Feb. 6)</t>
  </si>
  <si>
    <t>Target of evaluation
(Feb. 22)</t>
  </si>
  <si>
    <t>Actual KS</t>
  </si>
  <si>
    <t>Indication</t>
  </si>
  <si>
    <t>Planned MH</t>
  </si>
  <si>
    <t>Actual MH</t>
  </si>
  <si>
    <t>Carlos, Adelberth</t>
    <phoneticPr fontId="10"/>
  </si>
  <si>
    <t>Jr</t>
  </si>
  <si>
    <t>RTO</t>
  </si>
  <si>
    <t>P: 80.3% Meets Target
Low productivity from the beginning was caused by member trying to figure out the issue first without logging a QA. This was the initial recommendation before the 30 minute rule was explained.
Q: 1 errors in 1.2KS (3 tasks) Meets target
Members review findings are now passing on all his assigned tasks.
TC: Improved from OJT. Member is now interacting more frequest with teammates.</t>
  </si>
  <si>
    <t>〇</t>
    <phoneticPr fontId="10"/>
  </si>
  <si>
    <t>QA6件。うちPJQA1件。
一部教育済み内容のQAが見られるが、おおむね問題ない。</t>
    <rPh sb="15" eb="17">
      <t>イチブ</t>
    </rPh>
    <rPh sb="17" eb="20">
      <t>キョウイクズ</t>
    </rPh>
    <rPh sb="21" eb="23">
      <t>ナイヨウ</t>
    </rPh>
    <rPh sb="27" eb="28">
      <t>ミ</t>
    </rPh>
    <rPh sb="37" eb="39">
      <t>モンダイ</t>
    </rPh>
    <phoneticPr fontId="10"/>
  </si>
  <si>
    <t>Task1:19件、納品資産の不足,構成資産一覧記入不足,テストケース過多/不足、単純ミス、テストエビデンス不足、テストケース理解不足、納品資産の不足
Task2:8件、チェックリスト記入不足、テストケース過多/不足、単純ミス、テストエビデンス不足
Task3:3件、単純ミス、テストエビデンス不足
Task4:10件、テストケース過多/不足、単純ミス、テストエビデンス不足</t>
  </si>
  <si>
    <r>
      <rPr>
        <b/>
        <sz val="8"/>
        <color rgb="FF000000"/>
        <rFont val="Meiryo UI"/>
        <family val="3"/>
        <charset val="128"/>
      </rPr>
      <t xml:space="preserve">[Reason for delay even if high productivity/quality]
</t>
    </r>
    <r>
      <rPr>
        <sz val="8"/>
        <color rgb="FF000000"/>
        <rFont val="Meiryo UI"/>
        <family val="3"/>
        <charset val="128"/>
      </rPr>
      <t xml:space="preserve">
1) QA - 6 QAs logged
2) Review
Actual hours of delays caused by QA/review to be determined.
1) QA -6 QAを記録
2) レビュー
QA/レビューに起因する実際の遅延時間を決定する。</t>
    </r>
    <phoneticPr fontId="10"/>
  </si>
  <si>
    <t>N/A</t>
  </si>
  <si>
    <t>①Thorough self check
②Analysis of findings/errors/misses through QMS
③Knowledge sharing/best practices by Top Performers</t>
  </si>
  <si>
    <t>Hiroshima
RJ03D30G</t>
  </si>
  <si>
    <t>Hiroshima
RJ03D31G</t>
  </si>
  <si>
    <t>Hiroshima
N214010G</t>
  </si>
  <si>
    <t>Hiroshima
N207420G</t>
  </si>
  <si>
    <t>Hiroshima
N207421G</t>
  </si>
  <si>
    <t>Almocera, Alexander Hussein</t>
  </si>
  <si>
    <t>P: 78.3% Meets target.
Has increased b compared to OJT. Low productivity from the beginning was caused by member trying to figure out the issue first without logging a QA. This was the initial recommendation before the 30 minute rule was explained. Task assigned to him is not at par with his skills level.
Q: 0 errors in 1.4KS (1 Task) Meets target.
Members review findings are now passing on all his assigned tasks.
TC: Improved from OJT. Member is now reaching out to TL and Seniors if he has questions.</t>
  </si>
  <si>
    <t>Problem: Some of members tasks are delayed. Productivity is low.
Root Cause: Some tasks assigned to him is a bit difficult for his level. Several QAs were created due to being unfamiliar with some encountered issues. Member also spent more time on finding solution on issue.</t>
  </si>
  <si>
    <t>×</t>
    <phoneticPr fontId="10"/>
  </si>
  <si>
    <t>QA23件。うちPJQA4件。
コンバート資産が見つけられない、資産配備漏れ、コンパイル漏れなど初歩的なQAが目立つ他、QA内容の記載が足りない・添付資料が無いといった回答者に不親切な起票が多い。</t>
    <phoneticPr fontId="10"/>
  </si>
  <si>
    <t>Task1:25件、画面編集ミス、テストケース過多/不足,構成資産一覧記入不足、納品資産の不足、単純ミス、テストケース理解不足、テストエビデンス不足
Task2:2件、構成資産一覧記入不足、テストケース過多/不足</t>
  </si>
  <si>
    <r>
      <rPr>
        <b/>
        <sz val="8"/>
        <color rgb="FF000000"/>
        <rFont val="Meiryo UI"/>
        <family val="3"/>
        <charset val="128"/>
      </rPr>
      <t xml:space="preserve">[Reason for delay even if high productivity/quality]
</t>
    </r>
    <r>
      <rPr>
        <sz val="8"/>
        <color rgb="FF000000"/>
        <rFont val="Meiryo UI"/>
        <family val="3"/>
        <charset val="128"/>
      </rPr>
      <t xml:space="preserve">
1) QA - 18 QAs logged
2) Review
Quality data cannot be fully checked as member has only 3 tasks and 1 is still in progress.However, his common mistakes are related to the coding standards and the inconsistent screenshots. The coding standard changes during the start of Ikan stage affected his first review findings. This was adressed already and he had improved in the succeeding tasks.
Actual hours of delays caused by QA/review to be determined.
1) QA -18 QAを記録
2) レビュー
メンバには3つのタスクしかなく、1つがまだ進行中であるため、品質データを完全にチェックできません。しかし、彼のよくある間違いはコーディング標準と一貫性のないスクリーンショットに関連している。医官段階の開始中のコーディング標準の変更は、彼の最初のレビュー結果に影響を与えた。これはすでに対処されており、彼は次の仕事で改善した。
QA/レビューに起因する実際の遅延時間を決定する。</t>
    </r>
  </si>
  <si>
    <r>
      <t xml:space="preserve">Member is proactive in coordinating with teammates/TL in case he has concerns in his task. The assigned tasks to him is of large KLOC so he only got 3 tasks. He was able to manage but got delayed due to QAs. Member was able to proceed to Kaizen task and has submitted teh first task to JGG. 
This member also worked on a task from another member. He is currently working on it and is for 2nd PTE review.
Kaizen task progress: He is currently working on 2 out of 4 kaizen tasks (1 is already submitted to JGG) while waiting for the review of his transition task.
メンバーは、自分のタスクに不安がある場合には、チームメート/TLと積極的に調整します。彼に割り当てられたタスクは大きなKLOCのため、3つのタスクしか与えられませんでした。彼は何とかできたがQAのせいで遅れた。
</t>
    </r>
    <r>
      <rPr>
        <sz val="8"/>
        <color rgb="FFFF0000"/>
        <rFont val="Meiryo UI"/>
        <family val="3"/>
        <charset val="128"/>
      </rPr>
      <t>このメンバーは、他のメンバーのタスクも対応しています（進捗が悪いメンバーのタスクを割り当てられた）
改善タスクの進捗状況：残りの移管フェースのタスクのレビューを待っている間に、改善タスクを前倒しに対応。4個の改善タスクの中、１個はJGGに提出済みで、1個は対応中。移管フェースの遅延は、改善フェースのタスク完了には、大きいな影響なし。</t>
    </r>
    <phoneticPr fontId="10"/>
  </si>
  <si>
    <t>①Thorough self check
②Analysis of findings/errors/misses through QMS
③Knowledge sharing/best practices by Top Performers
④Knowledge base creation &amp; maintenance 
⑤QA analysis + survey of common issues and resolution</t>
  </si>
  <si>
    <t>Hiroshima
N204110G</t>
  </si>
  <si>
    <t>Hiroshima
N204111G</t>
  </si>
  <si>
    <t>Hiroshima
N204040G</t>
  </si>
  <si>
    <t>Balayan, Efraim</t>
  </si>
  <si>
    <t>P: 81.6% Meets Target
Has increased compared to OJT. Low productivity from the beginning was caused by member trying to figure out the issue first without logging a QA. This was the initial recommendation before the 30 minute rule was explained. Technical skill needs improvement, although memebr is eager to learn.
Q: 4 errors per 0.7KS (3 tasks) Meets target
Members review findings are now passing on all his assigned tasks.
TC: Improved from OJT. Member is now reaching out to TL and Seniors if he has questions. Member is also interacting in the group chat.</t>
  </si>
  <si>
    <t>△</t>
    <phoneticPr fontId="10"/>
  </si>
  <si>
    <t>QA28件。うちPJQA2件。
手順に無い修正によるエラー作り込みや手順対応漏れによるエラーなど手順書どおり作業しないことによるQAが3件ある。件数は少ないが内容が致命的なため個別にフォローが必要と思われる。</t>
    <phoneticPr fontId="10"/>
  </si>
  <si>
    <t>Task1:14件、画面編集ミス,納品資産の不足,仕様書雛形の選択ミス,テストケース過多/不足,エビデンス不足,構成資産一覧記入不足
Task2:7件、テストケース過多/不足，エビデンス不足，画面編集ミス，構成資産一覧記入不足
Task3:1件、納品資産の不足
Task4:3件、エビデンス不足，テストケース過多/不足，納品資産の不足
Task5:5件、エビデンス改善要，テストケース過多/不足、テストエビデンス不足、テストケース理解不足</t>
  </si>
  <si>
    <r>
      <rPr>
        <b/>
        <sz val="8"/>
        <color rgb="FF000000"/>
        <rFont val="Meiryo UI"/>
        <family val="3"/>
        <charset val="128"/>
      </rPr>
      <t xml:space="preserve">[Reason for delay even if high productivity/quality]
</t>
    </r>
    <r>
      <rPr>
        <sz val="8"/>
        <color rgb="FF000000"/>
        <rFont val="Meiryo UI"/>
        <family val="3"/>
        <charset val="128"/>
      </rPr>
      <t xml:space="preserve">
1) QA - 24 QAs logged
2) Review waiting time
Actual hours of delays caused by QA/review to be determined.
1) QA -24 QAを記録
2) レビュー待ち時間
QA/レビューに起因する実際の遅延時間を決定する。</t>
    </r>
  </si>
  <si>
    <r>
      <t>Member is proactive and coordinating well with the TL/members. Delays were caused by QA and review waiting time. 
Kaizen Task Progress: Submitted to JGG 2/3 of his Kaizen task and is currently working on the last task.
メンバーは積極的で、TL/メンバーとうまく調整しています。遅延の原因はQAとレビューの待ち時間でした。</t>
    </r>
    <r>
      <rPr>
        <sz val="8"/>
        <color rgb="FFFF0000"/>
        <rFont val="Meiryo UI"/>
        <family val="3"/>
        <charset val="128"/>
      </rPr>
      <t xml:space="preserve">
改善タスクの進捗状況：残りの移管フェースのタスクのレビューを待っている間に、改善タスクを前倒しに対応。3個の改善タスクの中、2個はJGGに提出済みで、1個は対応中。移管フェースの遅延は、改善フェースのタスク完了には、大きいな影響なし。</t>
    </r>
    <phoneticPr fontId="10"/>
  </si>
  <si>
    <t>Hiroshima
RJ035A0G</t>
  </si>
  <si>
    <t>Hiroshima
RJ035A1G</t>
  </si>
  <si>
    <t>Hiroshima
RJ12100G</t>
  </si>
  <si>
    <t>Hiroshima
N206630G</t>
  </si>
  <si>
    <t>Hiroshima
N206631G</t>
  </si>
  <si>
    <t>Hiroshima
N204050G</t>
  </si>
  <si>
    <t>Biag, Hendrix</t>
  </si>
  <si>
    <t>P: 69.5% Meets Target
Has increased by around 10% compared to OJT. Low productivity from the beginning was caused by member trying to figure out the issue first without logging a QA. This was the initial recommendation before the 30 minute rule was explained. Technical skill needs improvement, although member is eager to learn.
Q: 3 errors per 1.5KS (3 Tasks)
Members has improved by around 20% and low quality is due to low KS.
TC: Improved from OJT. Member is now interacting with teammats and frequently seen coordinatng with TL/Srs.</t>
  </si>
  <si>
    <t>QA16件。うちPJQA2件。
必要なロジックのコメントアウト、修正履歴なしの修正、自身の修正が起因となったエラーといった問題のQAが2件ある。個別フォローが必要。</t>
    <phoneticPr fontId="10"/>
  </si>
  <si>
    <t>Task1:13件、単純ミス、構成資産一覧記入不足、テストエビデンス不足
Task2:4件、単純ミス、エビデンス改善要、テストエビデンス不足
Task3:9件、テストケース過多/不足、単純ミス、テストエビデンス不足、テストケース理解不足,構成資産一覧記入不足
Task4:9件、単純ミス、画面編集ミス、テストケース過多/不足、テストエビデンス不足
Task5:2件、構成資産一覧記入不足、テストエビデンス不足</t>
  </si>
  <si>
    <r>
      <rPr>
        <b/>
        <sz val="8"/>
        <color rgb="FF000000"/>
        <rFont val="Meiryo UI"/>
        <family val="3"/>
        <charset val="128"/>
      </rPr>
      <t xml:space="preserve">[Reason for delay even if high productivity/quality]
</t>
    </r>
    <r>
      <rPr>
        <sz val="8"/>
        <color rgb="FF000000"/>
        <rFont val="Meiryo UI"/>
        <family val="3"/>
        <charset val="128"/>
      </rPr>
      <t xml:space="preserve">
1) QA - 15 QAs logged
2) Review waiting time
Actual hours of delays caused by QA/review to be determined.
1) QA -15 QAを記録
2) レビュー待ち時間
QA/レビューに起因する実際の遅延時間を決定する。
</t>
    </r>
  </si>
  <si>
    <r>
      <t xml:space="preserve">Member is proactive and coordinating well with the TL/members. Delays were caused by QA and review waiting time. 
While waiting, member was able to proceed to his Kaizen tasks and is now working on 3/4.
メンバーは積極的で、TL/メンバーとうまく調整しています。遅延の原因はQAとレビューの待ち時間でした。
</t>
    </r>
    <r>
      <rPr>
        <sz val="8"/>
        <color rgb="FFFF0000"/>
        <rFont val="Meiryo UI"/>
        <family val="3"/>
        <charset val="128"/>
      </rPr>
      <t>改善タスクの進捗状況：残りの移管フェースのタスクのレビューを待っている間に、改善タスクを前倒しに対応。4個の改善タスクの中、3個は対応中。移管フェースの遅延は、改善フェースのタスク完了には、大きいな影響なし。</t>
    </r>
    <phoneticPr fontId="10"/>
  </si>
  <si>
    <t>Hiroshima
RJ03881G</t>
  </si>
  <si>
    <t>Hiroshima
RJ12150G</t>
  </si>
  <si>
    <t>Hiroshima
N207180G</t>
  </si>
  <si>
    <t>Hiroshima
N207181G</t>
  </si>
  <si>
    <t>Hiroshima
N240610G</t>
  </si>
  <si>
    <t>Hiroshima
N203E90G</t>
  </si>
  <si>
    <t>Olimpos, Janet</t>
  </si>
  <si>
    <t>P: 80.6% Meets Target
Has increased by around 20% compared to OJT. Low productivity from the beginning was caused by member trying to figure out the issue first without logging a QA. This was the initial recommendation before the 30 minute rule was explained. Technical skill needs improvement, although member is eager to learn.
Q: 4 errors per 0.8KS (2 tasks) Meets target
Member has improved by around 20% and low quality is due to low KS.
TC: Improved from OJT. Member is now interacting with teammats and frequently seen coordinatng with TL/Srs.</t>
  </si>
  <si>
    <t>Problem: Some of members tasks are delayed. Productivity is low.
Root Cause: Several QAs were created due to being unfamiliar with some encountered issues. Member also spent more time on finding solution on issue. Member also got sick, but was able to recover the time used in SL.</t>
  </si>
  <si>
    <t>QA12件。うちPJQA4件。
初歩的な内容が数件見られる。
再発はしていないため改善済みと思われるが、継続してチェックする必要があると思われる。</t>
    <rPh sb="16" eb="18">
      <t>ショホ</t>
    </rPh>
    <rPh sb="18" eb="19">
      <t>テキ</t>
    </rPh>
    <rPh sb="20" eb="22">
      <t>ナイヨウ</t>
    </rPh>
    <rPh sb="23" eb="25">
      <t>スウケン</t>
    </rPh>
    <rPh sb="25" eb="26">
      <t>ミ</t>
    </rPh>
    <rPh sb="31" eb="33">
      <t>サイハツ</t>
    </rPh>
    <rPh sb="41" eb="44">
      <t>カイゼンズ</t>
    </rPh>
    <rPh sb="46" eb="47">
      <t>オモ</t>
    </rPh>
    <rPh sb="52" eb="54">
      <t>ケイゾク</t>
    </rPh>
    <rPh sb="62" eb="64">
      <t>ヒツヨウ</t>
    </rPh>
    <rPh sb="68" eb="69">
      <t>オモ</t>
    </rPh>
    <phoneticPr fontId="10"/>
  </si>
  <si>
    <t>Task1:7件、テストケース過多/不足、単純ミス、テストエビデンス不足
Task2:3件、単純ミス、テストエビデンス不足,チェックリスト記入不足
Task3:5件、テストケース過多/不足、単純ミス、画面編集ミス
Task4:8件、テストケース過多/不足、単純ミス、画面編集ミス、テストエビデンス不足
Task5:1件、チェックリスト記入不足</t>
  </si>
  <si>
    <r>
      <rPr>
        <b/>
        <sz val="8"/>
        <color rgb="FF000000"/>
        <rFont val="Meiryo UI"/>
        <family val="3"/>
        <charset val="128"/>
      </rPr>
      <t xml:space="preserve">[Reason for delay even if high productivity/quality]
</t>
    </r>
    <r>
      <rPr>
        <sz val="8"/>
        <color rgb="FF000000"/>
        <rFont val="Meiryo UI"/>
        <family val="3"/>
        <charset val="128"/>
      </rPr>
      <t xml:space="preserve">
1) QA - 7 QAs logged
2) Review
Actual hours of delays caused by QA/review to be determined.
1) QA -7 QAを記録
2) レビュー
QA/レビューに起因する実際の遅延時間を決定する。</t>
    </r>
    <phoneticPr fontId="10"/>
  </si>
  <si>
    <t>Hiroshima
RJ036A0G</t>
  </si>
  <si>
    <t>Hiroshima
RJ036A1G</t>
  </si>
  <si>
    <t>Hiroshima
N206710G</t>
  </si>
  <si>
    <t>Hiroshima
N206711G</t>
  </si>
  <si>
    <t>Hiroshima
N204080G</t>
  </si>
  <si>
    <t>Hiroshima
N204081G</t>
  </si>
  <si>
    <t>Jan-Louie Lopez</t>
  </si>
  <si>
    <t>Mid</t>
  </si>
  <si>
    <t>P: 67.5% Meets Expectation.
Has increased by around 30% compared to OJT. Low productivity from the beginning was caused by member trying to figure out the issue first without logging a QA. This was the initial recommendation before the 30 minute rule was explained. Task assigned to him are complex, wherein QAs also takes several days before being resolved. A lot of time spent in troubeshootng wen japan members do the rounds in answering the members' issues.
Q: 3 errors in 0.6KS (1 Task)
Member has passed the quality on his completed tasks.
TC: Member has been proactive even during OJT. He is also the go to guy of the team if members have questions.</t>
  </si>
  <si>
    <t>Problem: Most of the members tasks are delayed. Productivity is low.
Root Cause: Several QAs were created due to being unfamiliar with some encountered issues. Troubleshooting is frequently done with Japan team, but it takes long time before the issues were resolved. Member lso went on vacation leave and wasn't able to recover at once the time.</t>
  </si>
  <si>
    <t>QA25件。うちPJQA件。
データに関するQAが多く、傾向として問題ない。</t>
    <rPh sb="19" eb="20">
      <t>カン</t>
    </rPh>
    <rPh sb="25" eb="26">
      <t>オオ</t>
    </rPh>
    <rPh sb="28" eb="30">
      <t>ケイコウ</t>
    </rPh>
    <rPh sb="33" eb="35">
      <t>モンダイ</t>
    </rPh>
    <phoneticPr fontId="10"/>
  </si>
  <si>
    <t>Task1:17件、納品資産の不足,構成資産一覧記入不足、単純ミス,テストケース過多/不足、テストエビデンス不足
Task2:10件、納品資産の不足,構成資産一覧記入不足、単純ミス,テストケース過多/不足、テストエビデンス不足
Task3:13件、単純ミス,テストケース過多/不足、テストエビデンス不足
Task4:6件、構成資産一覧記入不足、テストケース過多/不足、納品資産の不足
Task5:6件、テストケース過多/不足、テストエビデンス不足</t>
  </si>
  <si>
    <r>
      <t xml:space="preserve">Low Quality Explanation: 
</t>
    </r>
    <r>
      <rPr>
        <strike/>
        <sz val="8"/>
        <rFont val="Meiryo UI"/>
        <family val="3"/>
        <charset val="128"/>
      </rPr>
      <t>Most of the findings on the initial tasks were due to some changes in coding and document standards. Member is also trying hard to finish his task on time, hence he sometimes cannot fully countercheck his work with the self review checklist.</t>
    </r>
    <r>
      <rPr>
        <b/>
        <strike/>
        <sz val="8"/>
        <rFont val="Meiryo UI"/>
        <family val="3"/>
        <charset val="128"/>
      </rPr>
      <t xml:space="preserve">
</t>
    </r>
    <r>
      <rPr>
        <strike/>
        <sz val="8"/>
        <rFont val="Meiryo UI"/>
        <family val="3"/>
        <charset val="128"/>
      </rPr>
      <t xml:space="preserve">
Findings not specified yet on: Task 5
低品質の説明:
初期のタスクに関する発見のほとんどは、コーディングとドキュメント標準の変更によるものでした。メンバーも時間通りに仕事を終わらせようと頑張っているので、自己点検チェックリストで仕事を十分にチェックできないことがあります。
検出結果がまだ指定されていません:タスク5</t>
    </r>
    <phoneticPr fontId="10"/>
  </si>
  <si>
    <t>Member has completed all his task (with 1 pending for review) And was able to work on 2 additional tasks from members that was not able to proceed with their tasks. 
Member has improved also on the succeeding tasks after getting findings on his first few tasks.With measures also in place, member can surely improve the quality of his work.
メンバーは自分のタスクをすべて完了しました (1つはレビュー待ち) 。また、タスクを続行できなかったメンバーからの2つの追加タスクを処理できました。
メンバーは、最初のいくつかのタスクで結果を得た後、次のタスクでも改善しています。対策も整っているので、メンバーは確実に仕事の質を高めることができます。</t>
  </si>
  <si>
    <t>Hiroshima
RJ06010G</t>
  </si>
  <si>
    <t>Hiroshima
RJ06011G</t>
  </si>
  <si>
    <t>Hiroshima
N240260G</t>
  </si>
  <si>
    <t>Hiroshima
N240261G</t>
  </si>
  <si>
    <t>Hiroshima
RJ05160G</t>
  </si>
  <si>
    <t>Jennifer Cua</t>
  </si>
  <si>
    <t>Sr</t>
  </si>
  <si>
    <t>P: 54.9% Below target.
Productivity is good but member wasn't able to do all her tasks due to frequent leaves and sickness caued by personal problem. Member has reovered the leaves but was also left behind due to QAs and pending reviews.
Q: 1 error per 1.4KS (1 Task) Meets target
Member has passed the quality on her completed tasks.
TC: Member is the backup of the TL and was stricter in checking the team' tasks, including monitoring of trackers. But she i also the go to person of the members if they have questions.</t>
  </si>
  <si>
    <t>Problem: Several tasks were not done and was transferred to other members.
Root Cause: Member is highy skilled and has great potential. However, her current personal issue, causing her to have several emergency and sick leaves, prevents her from contributing in her team.  Member requested for transfer/release.</t>
  </si>
  <si>
    <t>○</t>
    <phoneticPr fontId="10"/>
  </si>
  <si>
    <t>Member will be released.</t>
  </si>
  <si>
    <t>Hiroshima
RJ035B0G</t>
  </si>
  <si>
    <t>Hiroshima
RJ035B1G</t>
  </si>
  <si>
    <t>Hiroshima
RJ12110G</t>
  </si>
  <si>
    <t>Hiroshima
N206640G</t>
  </si>
  <si>
    <t>Hiroshima
N206641G</t>
  </si>
  <si>
    <t>Hiroshima
N204060G</t>
  </si>
  <si>
    <t>Hiroshima
N203XG0G</t>
  </si>
  <si>
    <t>Jonathan Ando</t>
  </si>
  <si>
    <t>TW</t>
  </si>
  <si>
    <t>P: 85.1% Meets Target
Productivity has dropped by 10% compared to OJT. But the main reason is the frequent sick leaves and holiday leaves. Member wasn't able to recover the leaves.
Q: 1 error per 0.4KS (2 Tasks) Meets target.
Member has passed the quality on her completed tasks.
TC: Member is one of the subleads and was able to guide his sub members. Althugh on telework, member is proactive and engaging in online discussions.</t>
  </si>
  <si>
    <t>Problem: Delayed tasks 
Root Cause: Several vacation leaves and sick levaes due to personal issues. Member wasn't able to recover the time.</t>
  </si>
  <si>
    <t>QA25件。うちPJQA1件。
QA数は多いが、徐々に質問内容のレベルは上がっており、質問対象も個別カスタマイズに関する特殊なケースも含まれるため全体として問題ないと判断できる。</t>
    <phoneticPr fontId="10"/>
  </si>
  <si>
    <t>Task1:15件、テストケース過多/不足、単純ミス、テストエビデンス不足、エビデンス改善要、納品資産の不足,構成資産一覧記入不足
Task2:1件、単純ミス
Task3:2件、テストケース過多/不足、単純ミス
Task4:10件、テストケース過多/不足、単純ミス、テストエビデンス不足、エビデンス改善要</t>
  </si>
  <si>
    <r>
      <rPr>
        <b/>
        <sz val="8"/>
        <color rgb="FF000000"/>
        <rFont val="Meiryo UI"/>
        <family val="3"/>
        <charset val="128"/>
      </rPr>
      <t xml:space="preserve">[Reason for delay even if high productivity/quality]
</t>
    </r>
    <r>
      <rPr>
        <sz val="8"/>
        <color rgb="FF000000"/>
        <rFont val="Meiryo UI"/>
        <family val="3"/>
        <charset val="128"/>
      </rPr>
      <t xml:space="preserve">
1) QA - 24 QAs logged
2) Review waiting time
3) Sick Leaves
Actual hours of delays caused by QA/review to be determined.
1) QA -24 QAを記録
2) レビュー待ち時間
3) 病み上がり
QA/レビューに起因する実際の遅延時間を決定する。</t>
    </r>
  </si>
  <si>
    <r>
      <rPr>
        <sz val="8"/>
        <color rgb="FF000000"/>
        <rFont val="Meiryo UI"/>
        <family val="3"/>
        <charset val="128"/>
      </rPr>
      <t xml:space="preserve">Member is proactive and coordinating well with the TL/members. Delays were caused by QA and review waiting time. Member also had several sick leave that he wasn't able to recover at once. 
But he is now catching up especially on the kaizen tasks. He has submitted 1 task to JGG and is working on task 3 (Task 2 was blocked). He has 3 tasks in Kaizen.
メンバーは積極的で、TL/メンバーとうまく調整しています。遅延の原因はQAとレビューの待ち時間でした。メンバーはまた、一度に回復することができなかったいくつかの病気休暇を持っていました。
</t>
    </r>
    <r>
      <rPr>
        <sz val="8"/>
        <color rgb="FFFF0000"/>
        <rFont val="Meiryo UI"/>
        <family val="3"/>
        <charset val="128"/>
      </rPr>
      <t>改善タスクの進捗状況：残りの移管フェースのタスクのレビューを待っている間に、改善タスクを前倒しに対応。3個の改善タスクの中、1個はJGGに提出済みで、1個は対応中、1個はブロッカーあり。移管フェースの遅延は、改善フェースのタスク完了には、大きいな影響なし。</t>
    </r>
  </si>
  <si>
    <t>①Thorough self check
②Analysis of findings/errors/misses through QMS
③Knowledge sharing/best practices by Top Performers
Proper time management so that he can properly catch up when he has absences.</t>
  </si>
  <si>
    <t>Hiroshima
RJ03U30G</t>
  </si>
  <si>
    <t>Hiroshima
RJ03250G</t>
  </si>
  <si>
    <t>Hiroshima
N204250G</t>
  </si>
  <si>
    <t>Hiroshima
N240110G</t>
  </si>
  <si>
    <t>Hiroshima
N240111G</t>
  </si>
  <si>
    <t>Hiroshima
N203Y50G</t>
  </si>
  <si>
    <t>Jose Bonivir Binalon</t>
    <phoneticPr fontId="10"/>
  </si>
  <si>
    <t>P: 70.9% Meets target.
Has increased by around 10% compared to OJT. Although productivity in initial task is good, there were delays in the succeeding task due to member trying to figure out the issue first even after the 30 minute rule was relayed. Technical skill needs improvement, although member is very eager to learn.
Q: 0 errors per 0.4KS (1 Task)
Member has passed the quality for his completed tasks.
TC: Improved from OJT. Member is now interacting with teammats and frequently seen coordinatng with TL/Srs.</t>
  </si>
  <si>
    <t>Problem: Delayed tasks
Root Cause: Skills may not be enough for the tasks given. Member is also not coordinating with teammates and continuously debuggin issues by hmself instead ofcreating QA.</t>
  </si>
  <si>
    <r>
      <rPr>
        <b/>
        <sz val="8"/>
        <color rgb="FF000000"/>
        <rFont val="Meiryo UI"/>
        <family val="3"/>
        <charset val="128"/>
      </rPr>
      <t xml:space="preserve">[Reason for delay even if high productivity/quality]
</t>
    </r>
    <r>
      <rPr>
        <sz val="8"/>
        <color rgb="FF000000"/>
        <rFont val="Meiryo UI"/>
        <family val="3"/>
        <charset val="128"/>
      </rPr>
      <t xml:space="preserve">
1) QA - 12 QAs logged
2) Review waiting time
Actual hours of delays caused by QA/review to be determined.
1) QA -12 QAを記録
2) レビュー待ち時間
QA/レビューに起因する実際の遅延時間を決定する。</t>
    </r>
  </si>
  <si>
    <r>
      <t>Member is recommended for release for not being able to catch up. He was given a chance during OJT hence we expected that he was able to catch-up in transition stage. However, even with extension of 4 weeks, the member is still not finished with his tasks. This also affected his kaizen task wherein the first 2 tasks are already delayed. There is sufficient guidance and frequent follow ups to him, but member is still not able to submit his tasks on time.
タスクの遅延はリカバリーできないため、メンバーはリリースします。OJTの時にチャンスを与えられていたので、</t>
    </r>
    <r>
      <rPr>
        <sz val="8"/>
        <color rgb="FFFF0000"/>
        <rFont val="Meiryo UI"/>
        <family val="3"/>
        <charset val="128"/>
      </rPr>
      <t>移管フェーズにキャッチアップできると期待していました。しかし、4週間の延長にもかかわらず、メンバーはタスクが完了できていない。その結果、アサインされている改善タスクにも影響を発生し、タスク１，タスク２は未着手で遅延状態。彼には十分な指導と頻繁なフォローがあるが、メンバーはまだ時間通りにタスクを提出することができない。</t>
    </r>
    <phoneticPr fontId="10"/>
  </si>
  <si>
    <t>Hiroshima
N204630G</t>
  </si>
  <si>
    <t>Hiroshima
N204631G</t>
  </si>
  <si>
    <t>Hiroshima
N207360G</t>
  </si>
  <si>
    <t>Hiroshima
N207361G</t>
  </si>
  <si>
    <t>Hiroshima
N204100G</t>
  </si>
  <si>
    <t>Hiroshima
N204381G</t>
  </si>
  <si>
    <t>Justine Amansec</t>
  </si>
  <si>
    <t>P: 70% Meets target.
Has increased by around 40% compared to OJT. Member was also able to advance some task in the beginning. However it decined again in the middle of transition stage. Although delays were primarily caused  by the member being sankaku previously and needs to finish the task 6 in OJT phase.
Q: 1 error per 0.3KS (1 Task)
Member has passed the quality for his completed tasks.
TC: Improved from OJT. Member is now interacting with teammates and ask question in the group chat. However attitude wise, member has declined compared to OJT. He has a problem in letting the team know of his status and he seldom inform PM/TL of whether he is on TW, onsite or on leave. Frequently oflfine in Teams during team meetings.</t>
  </si>
  <si>
    <t>Problem: Delayed Tasks 
Root Cause: Member having hard time following up his Qas/reviews hence he was waiting for a long time. Although he proceeds to next tasks, he still do the same when encountering e=issues hence the delay keeps repeating.</t>
  </si>
  <si>
    <t>Hiroshima
RJ03K20G</t>
  </si>
  <si>
    <t>Hiroshima
RJ40020G</t>
  </si>
  <si>
    <t>Hiroshima
RJ03240G</t>
  </si>
  <si>
    <t>Hiroshima
N205010G</t>
  </si>
  <si>
    <t>Hiroshima
N204160G</t>
  </si>
  <si>
    <t>Hiroshima
N240040G</t>
  </si>
  <si>
    <t>Hiroshima
N240041G</t>
  </si>
  <si>
    <t>Lester John Dela Pena</t>
  </si>
  <si>
    <t xml:space="preserve">P: 67.1% Meets target.
Productivity has dropped by 10% compared to OJT. But the main reason is the frequent emergency leaves. Member wasn't able to fully recover the leaves and has problem concentrating.
Q: 5 errors per KS. (1 task) Below target
Member has passed the quality on his completed tasks.
TC: Declined from OJT. But member is still coordinatng to some teammates. </t>
  </si>
  <si>
    <t>Problem: Delayed Tasks 
Root Cause: Member having hard time following up his Qas/reviews hence he was waiting for a long time. Leaves aren't fully recovered.</t>
  </si>
  <si>
    <t>Hiroshima
RJ034A0G</t>
  </si>
  <si>
    <t>Hiroshima
RJ034A1G</t>
  </si>
  <si>
    <t>Hiroshima
RJ12080G</t>
  </si>
  <si>
    <t>Hiroshima
N206510G</t>
  </si>
  <si>
    <t>Hiroshima
N206511G</t>
  </si>
  <si>
    <t>Hiroshima
N204020G</t>
  </si>
  <si>
    <t>Hiroshima
N205020G</t>
  </si>
  <si>
    <t>Marlou Hernandez</t>
  </si>
  <si>
    <t>P: 89% Meets target
Has increased by around 10% compared to OJT. Although initial task productivity, other tasks are still left behind. Technical skill needs improvement, although memebr is eager to learn.
Q: 2 errors per 0.4KS (1 Task)
Members review findings are now passing on all his assigned tasks.
TC: Improved from OJT. Member is now reaching out to TL and Seniors if he has questions. Member is also interacting with teammates.</t>
  </si>
  <si>
    <t>Problem: Delayed Tasks 
Root Cause: Member having hard time following up his Qas/reviews hence he was waiting for a long time. Member also has problem on pioritizing his tasks, especially the one that has returend frm QA/review.</t>
  </si>
  <si>
    <t>QA31件。うちPJQAなし。
QA数が多く、質問内容も調査に必要なデータが提供されていないことがあり、対応負荷は高い。</t>
    <phoneticPr fontId="10"/>
  </si>
  <si>
    <t>Task1:16件、チェックリスト記入不足、テストケース過多/不足、単純ミス、テストエビデンス不足、納品資産の不足
Task2:12件、単純ミス、テストケース過多/不足、テストエビデンス不足
Task3:1件、納品資産の不足
Task4:5件、テストケース過多/不足、テストエビデンス不足,構成資産一覧記入不足</t>
  </si>
  <si>
    <r>
      <rPr>
        <b/>
        <sz val="8"/>
        <color rgb="FF000000"/>
        <rFont val="Meiryo UI"/>
        <family val="3"/>
        <charset val="128"/>
      </rPr>
      <t xml:space="preserve">[Reason for delay even if high productivity/quality]
</t>
    </r>
    <r>
      <rPr>
        <sz val="8"/>
        <color rgb="FF000000"/>
        <rFont val="Meiryo UI"/>
        <family val="3"/>
        <charset val="128"/>
      </rPr>
      <t xml:space="preserve">
1) QA - 28 QAs logged
2) Review waiting time
Actual hours of delays caused by QA/review to be determined.
1) QA -28 QAを記録
2) レビュー待ち時間
QA/レビューに起因する実際の遅延時間を決定する。</t>
    </r>
  </si>
  <si>
    <r>
      <rPr>
        <sz val="8"/>
        <color rgb="FF000000"/>
        <rFont val="Meiryo UI"/>
        <family val="3"/>
        <charset val="128"/>
      </rPr>
      <t xml:space="preserve">Member is proactive and coordinating well with the TL/members. Delays were caused by QA and review waiting time. But he is now catching up especially on the kaizen tasks. 
He has already sent Kaizen Task 2 and Task 3 PG/PTS for PH review. (Task 1 is blocked). He has 3 tasks in Kaizen.
メンバーは積極的で、TL/メンバーとうまく調整しています。遅延の原因はQAとレビューの待ち時間でした。しかし、彼は今、特にカイゼンの課題に追いつきつつある。彼はすでにカイゼンタスク2とタスク3のPG/PTSをPHレビューのために送信しました。(タスク1はブロックされています)
</t>
    </r>
    <r>
      <rPr>
        <sz val="8"/>
        <color rgb="FFFF0000"/>
        <rFont val="Meiryo UI"/>
        <family val="3"/>
        <charset val="128"/>
      </rPr>
      <t>改善タスクの進捗状況：残りの移管フェースのタスクのレビューを待っている間に、改善タスク２，３を対応し、今、内部レビュー待ちです。3個の改善タスクの中、1個はブロッカーあり。改善タスクの遅延をキャッチアップして、移管フェースの遅延は、改善フェースのタスク完了には、大きいな影響なし。</t>
    </r>
  </si>
  <si>
    <t>Hiroshima
RJ03Z91G</t>
  </si>
  <si>
    <t>Hiroshima
RJ05150G</t>
  </si>
  <si>
    <t>Hiroshima
N240210G</t>
  </si>
  <si>
    <t>Hiroshima
N240211G</t>
  </si>
  <si>
    <t>Hiroshima
N204260G</t>
  </si>
  <si>
    <t>Hiroshima
RJ40620G</t>
  </si>
  <si>
    <t>Michaela Dimacali</t>
  </si>
  <si>
    <t>P: 68.7% Meets Target
Has improved compared to OJT by 30%. Although some tasks were more complex and were not covered during OJT, which was why the member took longer than expected.
Q: 6 errors per 3.6 KS (1 task). Meets target
Members review findings are now passing on all her assigned tasks.
TC: Improved from OJT. Member is now interacting more frequest with teammates. Now appraoching TL/Sr if have concerns in her tasks.</t>
  </si>
  <si>
    <t>Problem: Delayed Tasks 
Root Cause: Member having hard time following up her Qas/reviews hence she was waiting for a long time.</t>
  </si>
  <si>
    <t>QA16件。うちPJQA4件。
件数に対し、初歩的なQAは少ない。データ関連が多く、それ以外も教育で自己解決が見込めるQAとなっている。</t>
    <rPh sb="16" eb="18">
      <t>ケンスウ</t>
    </rPh>
    <rPh sb="19" eb="20">
      <t>タイ</t>
    </rPh>
    <rPh sb="22" eb="25">
      <t>ショホテキ</t>
    </rPh>
    <rPh sb="29" eb="30">
      <t>スク</t>
    </rPh>
    <rPh sb="36" eb="38">
      <t>カンレン</t>
    </rPh>
    <rPh sb="39" eb="40">
      <t>オオ</t>
    </rPh>
    <rPh sb="44" eb="46">
      <t>イガイ</t>
    </rPh>
    <rPh sb="47" eb="49">
      <t>キョウイク</t>
    </rPh>
    <rPh sb="50" eb="54">
      <t>ジコカイケツ</t>
    </rPh>
    <rPh sb="55" eb="57">
      <t>ミコ</t>
    </rPh>
    <phoneticPr fontId="10"/>
  </si>
  <si>
    <t>Task1:19件、テストケース過多/不足、納品資産の不足、テストケース理解不足、テストエビデンス不足、仕様書雛形の選択ミス、エビデンス改善要
Task2:7件、納品資産の不足,チェックリスト記入不足,構成資産一覧記入不足、テストエビデンス不足
Task3:4件、構成資産一覧記入不足、単純ミス、エビデンス改善要
Task4:10件、テストケース過多/不足、テストデータ不備、テストエビデンス不足、単純ミス,構成資産一覧記入不足
Task5:9件、テストケース過多/不足、テストエビデンス不足、納品資産の不足、テストケース理解不足</t>
  </si>
  <si>
    <r>
      <rPr>
        <b/>
        <sz val="8"/>
        <color rgb="FF000000"/>
        <rFont val="Meiryo UI"/>
        <family val="2"/>
      </rPr>
      <t xml:space="preserve">[Reason for delay even if high productivity/quality]
</t>
    </r>
    <r>
      <rPr>
        <sz val="8"/>
        <color rgb="FF000000"/>
        <rFont val="Meiryo UI"/>
        <family val="2"/>
      </rPr>
      <t xml:space="preserve">
1) QA - 10 QAs logged
2) Review waiting time
Actual hours of delays caused by QA/review to be determined.
1) QA -10 QAを記録
2) レビュー待ち時間
QA/レビューに起因する実際の遅延時間を決定する。</t>
    </r>
  </si>
  <si>
    <t>Hiroshima
RJ06Z30G</t>
  </si>
  <si>
    <t>Hiroshima
N240360G</t>
  </si>
  <si>
    <t>Hiroshima
N240361G</t>
  </si>
  <si>
    <t>Hiroshima
RJ83210G</t>
  </si>
  <si>
    <t>Hiroshima
N202N20G</t>
  </si>
  <si>
    <t>Hiroshima
N204440G</t>
  </si>
  <si>
    <t>Paul David Dino</t>
  </si>
  <si>
    <t>TL</t>
  </si>
  <si>
    <t>P: 116.6% Above Target.
Productivity is good and amost all tasks passed,
Q: 3 errors per 0.7KS. Meets Target.
Members review findings are now passing on all his assign
TC: Main contributor to tasks. Great productivity and quality. Shows great team leader skills.</t>
  </si>
  <si>
    <t>QA8件。うちPJQA1件。
テスト方法やPJ内ルール、納品方法の確認がほとんどであり、問題ない。</t>
    <rPh sb="18" eb="20">
      <t>ホウホウ</t>
    </rPh>
    <rPh sb="23" eb="24">
      <t>ナイ</t>
    </rPh>
    <rPh sb="28" eb="32">
      <t>ノウヒンホウホウ</t>
    </rPh>
    <rPh sb="33" eb="35">
      <t>カクニン</t>
    </rPh>
    <rPh sb="44" eb="46">
      <t>モンダイ</t>
    </rPh>
    <phoneticPr fontId="10"/>
  </si>
  <si>
    <t>Task1:5件、テストエビデンス不足、テストデータ不備、テストケース理解不足
Task2:12件、チェックリスト記入不足、テストケース過多/不足、単純ミス、テストエビデンス不足,構成資産一覧記入不足
Task3:7件、単純ミス、テストエビデンス不足,構成資産一覧記入不足、納品資産の不足
Task4:4件、テストエビデンス不足、テストケース過多/不足
Task5:2件、テストケース過多/不足,画面編集ミス</t>
  </si>
  <si>
    <r>
      <rPr>
        <b/>
        <sz val="8"/>
        <color rgb="FF000000"/>
        <rFont val="Meiryo UI"/>
        <family val="3"/>
        <charset val="128"/>
      </rPr>
      <t xml:space="preserve">[Reason for delay even if high productivity/quality]
</t>
    </r>
    <r>
      <rPr>
        <sz val="8"/>
        <color rgb="FF000000"/>
        <rFont val="Meiryo UI"/>
        <family val="3"/>
        <charset val="128"/>
      </rPr>
      <t>Did not meet deadline due to:
* High level of reviews for all members
* Members assistance
締め切りに間に合わなかった理由:
* 全メンバーに対する高レベルのレビュー
* メンバーの支援</t>
    </r>
    <phoneticPr fontId="10"/>
  </si>
  <si>
    <t>◎</t>
  </si>
  <si>
    <t>①Thorough self check
②Analysis of findings/errors/misses through QMS
③Knowledge sharing/best practices by Top Performers
Highly recommended for promotion.</t>
  </si>
  <si>
    <t>Hiroshima
RJ02020G</t>
  </si>
  <si>
    <t>Hiroshima
RJ02021G</t>
  </si>
  <si>
    <t>Hiroshima
N204390G</t>
  </si>
  <si>
    <t>Hiroshima
N204391G</t>
  </si>
  <si>
    <t>Hiroshima
N206280G</t>
  </si>
  <si>
    <t>Hiroshima
N206281G</t>
  </si>
  <si>
    <t>Ron Aldrian Natuel</t>
  </si>
  <si>
    <t>P: 71.1% Meets target
Productivity is good and amost all tasks passed, and this is on top of him  working on other members' tasks too.
Q: 4 errors per 0.8KS (5 Tasks) Meets Target
Members has improved by around 30% and low quality is due to low KS.
Good contribution to team. Productivity is also good. Quality of work improved from OJT. Has been the first member to finish most of his tasks, and was able to help other members.</t>
  </si>
  <si>
    <t>QA10件。うちPJQA4件。
その他のQAは自己解決している物もあり、特段問題は見受けられない。
QA10.Four of them were PJQA.
Other QAs are self-solving, and there are no particular problems.</t>
  </si>
  <si>
    <r>
      <rPr>
        <sz val="8"/>
        <color rgb="FF000000"/>
        <rFont val="Meiryo UI"/>
        <family val="3"/>
        <charset val="128"/>
      </rPr>
      <t>Task1:14件、テストエビデンス不足,テストケース過多/不足,単純ミス,画面編集ミス,納品資産の不足
Task2:12件、納品資産の不足,画面編集ミス,</t>
    </r>
    <r>
      <rPr>
        <sz val="8"/>
        <color rgb="FFFF0000"/>
        <rFont val="Meiryo UI"/>
        <family val="3"/>
        <charset val="128"/>
      </rPr>
      <t>単純ミス</t>
    </r>
    <r>
      <rPr>
        <sz val="8"/>
        <color rgb="FF000000"/>
        <rFont val="Meiryo UI"/>
        <family val="3"/>
        <charset val="128"/>
      </rPr>
      <t>,テストケース過多/不足,エビデンス不足
Task3:7件、納品資産の不足,構成資産一覧記入不足,単純ミス,テストケース過多/不足,</t>
    </r>
    <r>
      <rPr>
        <sz val="8"/>
        <color rgb="FFFF0000"/>
        <rFont val="Meiryo UI"/>
        <family val="3"/>
        <charset val="128"/>
      </rPr>
      <t xml:space="preserve">テストケース理解不足
</t>
    </r>
    <r>
      <rPr>
        <sz val="8"/>
        <color rgb="FF000000"/>
        <rFont val="Meiryo UI"/>
        <family val="3"/>
        <charset val="128"/>
      </rPr>
      <t>Task4:2件、</t>
    </r>
    <r>
      <rPr>
        <sz val="8"/>
        <color rgb="FFFF0000"/>
        <rFont val="Meiryo UI"/>
        <family val="3"/>
        <charset val="128"/>
      </rPr>
      <t>単純ミス</t>
    </r>
    <r>
      <rPr>
        <sz val="8"/>
        <color rgb="FF000000"/>
        <rFont val="Meiryo UI"/>
        <family val="3"/>
        <charset val="128"/>
      </rPr>
      <t>,チェックリスト記入不足
Task5:5件、</t>
    </r>
    <r>
      <rPr>
        <sz val="8"/>
        <color rgb="FFFF0000"/>
        <rFont val="Meiryo UI"/>
        <family val="3"/>
        <charset val="128"/>
      </rPr>
      <t>単純ミス</t>
    </r>
    <r>
      <rPr>
        <sz val="8"/>
        <color rgb="FF000000"/>
        <rFont val="Meiryo UI"/>
        <family val="3"/>
        <charset val="128"/>
      </rPr>
      <t>,</t>
    </r>
    <r>
      <rPr>
        <sz val="8"/>
        <color rgb="FFFF0000"/>
        <rFont val="Meiryo UI"/>
        <family val="3"/>
        <charset val="128"/>
      </rPr>
      <t>テストデータ不備</t>
    </r>
    <r>
      <rPr>
        <sz val="8"/>
        <color rgb="FF000000"/>
        <rFont val="Meiryo UI"/>
        <family val="3"/>
        <charset val="128"/>
      </rPr>
      <t>,チェックリスト記入不足
Task6:4件、テストエビデンス不足,テストケース過多/不足,納品資産の不足,構成資産一覧記入不足
ask1:14 cases/items , insufficient test evidence, too many/insufficient test cases, simple errors, screen editing errors, insufficient delivered assets
Task2:12 cases/items, insufficient delivered assets, screen editing errors, simple errors, too many/insufficient test cases, insufficient evidence
Task3:7 cases/Items, Insufficient Delivered Assets, Insufficient Configuration Asset Listing, Simple Mistake, Too Many/Not Enough Test Cases, Insufficient Test Case Understanding
Task4:2cases/items simple errors, missing checklist entries
Task5:5cases/items Simple Mistakes, Insufficient Test Data, Insufficient Checklist
Task6:4cases/items , insufficient test evidence, too many/insufficient test cases, insufficient delivered assets, insufficient component asset list entry</t>
    </r>
  </si>
  <si>
    <t>①Thorough self check
②Analysis of findings/errors/misses
③Knowledge sharing/best practices
Highly recommended for promotion.</t>
  </si>
  <si>
    <t>Hiroshima
RJ036B0G</t>
  </si>
  <si>
    <t>Hiroshima
RJ036B1G</t>
  </si>
  <si>
    <t>Hiroshima
RJ12130G</t>
  </si>
  <si>
    <t>Hiroshima
N207020G</t>
  </si>
  <si>
    <t>Hiroshima
N207021G</t>
  </si>
  <si>
    <t>Hiroshima
N203A60G</t>
  </si>
  <si>
    <t>Tyron Ed Tiongson</t>
  </si>
  <si>
    <t>P: 71.6% Meets Target
Has increased by around 20% compared to OJT. Low productivity from the beginning was caused by member trying to figure out the issue first without logging a QA. This was the initial recommendation before the 30 minute rule was explained.Member is also
Q: 3 errors per 0.5KS (2 Tasks) Meets Target
Members has improved by around 20% and low quality is due to low KS.
TC: Member is the go to person of the team and he is able to assist other members. He also worked on otehr member's task.</t>
  </si>
  <si>
    <t>Problem: Low productivity and some delayed tasks 
Root Cause: Member spending more hours in his tasks.</t>
  </si>
  <si>
    <t>QA12件。うちPJQA2件。
当日中の自己解決が比較的多くみられる。
QA起票時の添付資料作成時に自己解決できれば管理表入力の手間が省けるのでもう一歩。</t>
    <rPh sb="16" eb="19">
      <t>トウジツチュウ</t>
    </rPh>
    <rPh sb="20" eb="24">
      <t>ジコカイケツ</t>
    </rPh>
    <rPh sb="25" eb="28">
      <t>ヒカクテキ</t>
    </rPh>
    <rPh sb="28" eb="29">
      <t>オオ</t>
    </rPh>
    <rPh sb="38" eb="41">
      <t>キヒョウジ</t>
    </rPh>
    <rPh sb="42" eb="48">
      <t>テンプシリョウサクセイ</t>
    </rPh>
    <rPh sb="48" eb="49">
      <t>トキ</t>
    </rPh>
    <rPh sb="50" eb="54">
      <t>ジコカイケツ</t>
    </rPh>
    <rPh sb="58" eb="63">
      <t>カンリヒョウニュウリョク</t>
    </rPh>
    <rPh sb="64" eb="66">
      <t>テマ</t>
    </rPh>
    <rPh sb="67" eb="68">
      <t>ハブ</t>
    </rPh>
    <rPh sb="74" eb="76">
      <t>イッポ</t>
    </rPh>
    <phoneticPr fontId="10"/>
  </si>
  <si>
    <t>Task1:8件、テストケース過多/不足、テストエビデンス不足、単純ミス、納品資産の不足,構成資産一覧記入不足
Task2:6件、テストケース過多/不足、テストエビデンス不足、単純ミス、チェックリスト記入不足
Task3:2件、テストケース過多/不足、テストケース理解不足
Task4:4件、テストエビデンス不足,テストケース過多/不足、エビデンス改善要</t>
  </si>
  <si>
    <r>
      <t xml:space="preserve">[Reason for delay even if high productivity/quality]
</t>
    </r>
    <r>
      <rPr>
        <sz val="8"/>
        <color rgb="FF000000"/>
        <rFont val="Meiryo UI"/>
        <family val="3"/>
        <charset val="128"/>
      </rPr>
      <t>1) Long Vacation Leave in December. Although member was able to advance his tasks, but upon his return from Vacation reviews and QAs are already returned to him.
2) QA - 14 QAs logged
3) Review
1) 12月に長期休暇。メンバーはタスクを進めることができましたが、休暇から戻ると、レビューとQAがすでにメンバーに戻されています。
2) QA -14 QAを記録
3) レビュー</t>
    </r>
    <phoneticPr fontId="10"/>
  </si>
  <si>
    <t xml:space="preserve">①Thorough self check
②Analysis of findings/errors/misses
③Knowledge sharing/best practices
</t>
  </si>
  <si>
    <t>Hiroshima
RJ06G40G</t>
  </si>
  <si>
    <t>Hiroshima
RJ05200G</t>
  </si>
  <si>
    <t>Hiroshima
N240310G</t>
  </si>
  <si>
    <t>Hiroshima
N240311G</t>
  </si>
  <si>
    <t>Hiroshima
N204400G</t>
  </si>
  <si>
    <t>Victor Nacino</t>
    <phoneticPr fontId="10"/>
  </si>
  <si>
    <t>P: 81.9% Meets target
Productivity is good and  all tasks passed, and this is on top of him  reviewing other members' tasks too.
Q: 2 errors per 1.3KS (3 Tasks) Meets target
Members review findings are now passing on all her assigned tasks.
TC: Good contribution to team. Productivity is also good. Quality of work improved from OJT. Has been the first member to finish most of his tasks, and was able to help other members.</t>
  </si>
  <si>
    <t>QA11件。うちPJQA1件。
おおむね問題ないが、Fwxmlbatの実行漏れやフォームマスタへの登録漏れが原因のQAがあり、基本的な部分の理解度に怪しい箇所があるかもしれない。</t>
    <rPh sb="20" eb="22">
      <t>モンダイ</t>
    </rPh>
    <rPh sb="35" eb="38">
      <t>ジッコウモ</t>
    </rPh>
    <rPh sb="49" eb="51">
      <t>トウロク</t>
    </rPh>
    <rPh sb="51" eb="52">
      <t>モ</t>
    </rPh>
    <rPh sb="54" eb="56">
      <t>ゲンイン</t>
    </rPh>
    <rPh sb="63" eb="66">
      <t>キホンテキ</t>
    </rPh>
    <rPh sb="67" eb="69">
      <t>ブブン</t>
    </rPh>
    <rPh sb="70" eb="73">
      <t>リカイド</t>
    </rPh>
    <rPh sb="74" eb="75">
      <t>アヤ</t>
    </rPh>
    <rPh sb="77" eb="79">
      <t>カショ</t>
    </rPh>
    <phoneticPr fontId="10"/>
  </si>
  <si>
    <t>Task1:6件、テストケース過多/不足、テストエビデンス不足,構成資産一覧記入不足
Task2:9件、納品資産の不足 ,構成資産一覧記入不足,チェックリスト記入不足、テストエビデンス不足
Task3:1件、チェックリスト記入不足
Task4:2件、構成資産一覧記入不足,画面編集ミス
Task5:4件、テストケース過多/不足、画面編集ミス、エビデンス改善要</t>
  </si>
  <si>
    <r>
      <rPr>
        <b/>
        <sz val="8"/>
        <color rgb="FF000000"/>
        <rFont val="Meiryo UI"/>
        <family val="3"/>
        <charset val="128"/>
      </rPr>
      <t xml:space="preserve">Low Quality Explanation:
1) </t>
    </r>
    <r>
      <rPr>
        <sz val="8"/>
        <color rgb="FF000000"/>
        <rFont val="Meiryo UI"/>
        <family val="3"/>
        <charset val="128"/>
      </rPr>
      <t xml:space="preserve">Member hasn't fully reviewed his tasks hence some careless mistakes appered durign review.
Total number of findings in </t>
    </r>
    <r>
      <rPr>
        <b/>
        <sz val="8"/>
        <color rgb="FF000000"/>
        <rFont val="Meiryo UI"/>
        <family val="3"/>
        <charset val="128"/>
      </rPr>
      <t>Task 3</t>
    </r>
    <r>
      <rPr>
        <sz val="8"/>
        <color rgb="FF000000"/>
        <rFont val="Meiryo UI"/>
        <family val="3"/>
        <charset val="128"/>
      </rPr>
      <t xml:space="preserve"> not yet available which can also affect the overall quality.
低品質の説明:
1) メンバーは自分のタスクを完全にレビューしていないので、レビュー中にいくつかのケアレスミスが発生しました。
全体的な品質に影響を与える可能性があるタスク3の結果の合計数はまだ利用できません。
</t>
    </r>
  </si>
  <si>
    <t>For verification once all findings count are available.
すべての結果カウントが利用可能になった後の検証のため。</t>
  </si>
  <si>
    <t>Hiroshima
RJ038B0G</t>
  </si>
  <si>
    <t>Hiroshima
N207220G</t>
  </si>
  <si>
    <t>Hiroshima
N207221G</t>
  </si>
  <si>
    <t>Hiroshima
RJ03530G</t>
  </si>
  <si>
    <t>Hiroshima
RJ12160G</t>
  </si>
  <si>
    <t>Hiroshima
N202650G</t>
  </si>
  <si>
    <t>Ynfane Shairene Alcain</t>
    <phoneticPr fontId="10"/>
  </si>
  <si>
    <t>P: 90.9% Meets Target
Productivity is good and amost all tasks passed,
Q: 1 error per 0.8KS (3 tasks) Meets target
Members has improved by around 20% and low quality is due to low KS.
TC: Good contribution to team. Member also handled three additional tasks from other members.</t>
  </si>
  <si>
    <t>QA9件。うちPJQA2件。
メッセージIDを誤って変更してしまっていたり、変更コメントが規約通りに入力できていないQAが含まれている。</t>
    <rPh sb="23" eb="24">
      <t>アヤマ</t>
    </rPh>
    <rPh sb="26" eb="28">
      <t>ヘンコウ</t>
    </rPh>
    <rPh sb="38" eb="40">
      <t>ヘンコウ</t>
    </rPh>
    <rPh sb="45" eb="48">
      <t>キヤクドオ</t>
    </rPh>
    <rPh sb="50" eb="52">
      <t>ニュウリョク</t>
    </rPh>
    <rPh sb="61" eb="62">
      <t>フク</t>
    </rPh>
    <phoneticPr fontId="10"/>
  </si>
  <si>
    <t>Task1:12件、チェックリスト記入不足,納品資産の不足,テストケース過多/不足，エビデンス不足,単純ミス,納品資産の不足
Task2:6件、チェックリスト記入不足,テストケース過多/不足,画面編集ミス,単純ミス
Task3:6件、エビデンス不足,テストケース過多/不足
Task4:4件、テストケース過多/不足,エビデンス不足,画面機能の理解不足
Task5:2件、チェックリスト記入不足,単純ミス
Task6:8件、テストケース過多/不足,エビデンス不足,構成資産一覧記入不足、テストデータ不備</t>
  </si>
  <si>
    <r>
      <rPr>
        <b/>
        <sz val="8"/>
        <color rgb="FF000000"/>
        <rFont val="Meiryo UI"/>
        <family val="3"/>
        <charset val="128"/>
      </rPr>
      <t xml:space="preserve">Low Quality Explanation: 
</t>
    </r>
    <r>
      <rPr>
        <sz val="8"/>
        <color rgb="FF000000"/>
        <rFont val="Meiryo UI"/>
        <family val="3"/>
        <charset val="128"/>
      </rPr>
      <t>Most of the findings on the initial tasks were due to some changes in coding and document standards after review submission. Member is also trying hard to finish her task on time, hence she sometimes cannot fully countercheck her work with the self review checklist.
Total number of findings in</t>
    </r>
    <r>
      <rPr>
        <b/>
        <sz val="8"/>
        <color rgb="FF000000"/>
        <rFont val="Meiryo UI"/>
        <family val="3"/>
        <charset val="128"/>
      </rPr>
      <t xml:space="preserve"> Task 5</t>
    </r>
    <r>
      <rPr>
        <sz val="8"/>
        <color rgb="FF000000"/>
        <rFont val="Meiryo UI"/>
        <family val="3"/>
        <charset val="128"/>
      </rPr>
      <t xml:space="preserve"> not yet available which can also affect the overall quality.
低品質の説明:
初期のタスクに関する発見のほとんどは、コーディングとドキュメント標準の変更によるものでした。メンバーも時間通りに仕事を終わらせようと頑張っているので、自己点検チェックリストで自分の仕事を十分にチェックできないことがあります。
検出結果がまだ指定されていません:タスク5</t>
    </r>
  </si>
  <si>
    <t>Member has completed all her task (with 1 pending for review) And was able to work on 4 additional tasks from members that was not able to proceed with their tasks. 
Member has improved also on the succeeding tasks after getting findings on her first few tasks.With measures also in place, member can surely improve the quality of her work.
メンバーは自分のタスクをすべて完了しました (1つはレビュー待ち) 。また、タスクを続行できなかったメンバーの4つの追加タスクを処理できました。
メンバーは、最初のいくつかのタスクで結果を得た後、次のタスクでも改善しました。対策も整っているので、メンバーは確実に仕事の質を高めることができます。</t>
  </si>
  <si>
    <t>Hiroshima
RJ06ZA0G</t>
  </si>
  <si>
    <t>Hiroshima
N204840G</t>
  </si>
  <si>
    <t>Hiroshima
N204841G</t>
  </si>
  <si>
    <t>Hiroshima
N240410G</t>
  </si>
  <si>
    <t>Hiroshima
N240411G</t>
  </si>
  <si>
    <t>Hiroshima
RJ03540G</t>
  </si>
  <si>
    <t>Mercy Caminio</t>
  </si>
  <si>
    <t>BSE Mid</t>
  </si>
  <si>
    <t>Regine De Torres</t>
  </si>
  <si>
    <t>Team B</t>
    <phoneticPr fontId="3"/>
  </si>
  <si>
    <t>Vergil Banasihan</t>
    <phoneticPr fontId="16"/>
  </si>
  <si>
    <t>Members</t>
  </si>
  <si>
    <t>Target of evaluation
(Feb. 22)</t>
    <phoneticPr fontId="10"/>
  </si>
  <si>
    <t>Aclan, Alejo Len</t>
  </si>
  <si>
    <r>
      <rPr>
        <b/>
        <sz val="8"/>
        <color rgb="FF000000"/>
        <rFont val="Meiryo UI"/>
        <family val="2"/>
      </rPr>
      <t xml:space="preserve">Productivity: </t>
    </r>
    <r>
      <rPr>
        <sz val="8"/>
        <color rgb="FF000000"/>
        <rFont val="Meiryo UI"/>
        <family val="2"/>
      </rPr>
      <t xml:space="preserve">103.7% in 3 completed tasks. Above target.
</t>
    </r>
    <r>
      <rPr>
        <b/>
        <sz val="8"/>
        <color rgb="FF000000"/>
        <rFont val="Meiryo UI"/>
        <family val="2"/>
      </rPr>
      <t xml:space="preserve">Quality: </t>
    </r>
    <r>
      <rPr>
        <sz val="8"/>
        <color rgb="FF000000"/>
        <rFont val="Meiryo UI"/>
        <family val="2"/>
      </rPr>
      <t xml:space="preserve">12 app errors in 3.3 KS (3 tasks) Below target. 
</t>
    </r>
    <r>
      <rPr>
        <b/>
        <sz val="8"/>
        <color rgb="FF000000"/>
        <rFont val="Meiryo UI"/>
        <family val="2"/>
      </rPr>
      <t>On-time completion rate:</t>
    </r>
    <r>
      <rPr>
        <sz val="8"/>
        <color rgb="FF000000"/>
        <rFont val="Meiryo UI"/>
        <family val="2"/>
      </rPr>
      <t xml:space="preserve"> 75% 
Below target.</t>
    </r>
  </si>
  <si>
    <t>Member was able to handle complex tasks despite being a Jr. So far, member takes time in analysis and consultation given his task complexity.</t>
  </si>
  <si>
    <t>QA4件。うちPJQA3件。
他1件は運用制御ファイルに関するものであり、1度回答することで再発しないものと思われる。</t>
    <phoneticPr fontId="10"/>
  </si>
  <si>
    <t>Task1:14件、テストエビデンス不足,テストケース理解不足,テストケース過多/不足,テストデータ不備,単純ミス,画面編集ミス,納品資産の不足
Task2:1件、テストエビデンス不足
Task3:9件、テストエビデンス不足,テストケース理解不足,テストケース過多/不足,単純ミス</t>
  </si>
  <si>
    <t>①Thorough self check
②Analysis of findings/errors/misses
③Knowledge sharing/best practices by Top Performers
④Knowledge base creation &amp; maintenance 
⑤QA analysis + survey of common issues and resolution"</t>
  </si>
  <si>
    <t>Hiroshima
N203040G</t>
  </si>
  <si>
    <t>Hiroshima
 N203041G</t>
  </si>
  <si>
    <t>Hiroshima
N203042G</t>
  </si>
  <si>
    <t>Hiroshima
N203043G</t>
  </si>
  <si>
    <t>Hiroshima</t>
  </si>
  <si>
    <t>Carl Angelo Cuba</t>
    <phoneticPr fontId="10"/>
  </si>
  <si>
    <r>
      <rPr>
        <b/>
        <sz val="8"/>
        <color rgb="FF000000"/>
        <rFont val="Meiryo UI"/>
        <family val="3"/>
        <charset val="128"/>
      </rPr>
      <t xml:space="preserve">Productivity: </t>
    </r>
    <r>
      <rPr>
        <sz val="8"/>
        <color rgb="FF000000"/>
        <rFont val="Meiryo UI"/>
        <family val="3"/>
        <charset val="128"/>
      </rPr>
      <t xml:space="preserve">70.2% in 7 completed tasks. Above target.
</t>
    </r>
    <r>
      <rPr>
        <b/>
        <sz val="8"/>
        <color rgb="FF000000"/>
        <rFont val="Meiryo UI"/>
        <family val="3"/>
        <charset val="128"/>
      </rPr>
      <t xml:space="preserve">Quality: </t>
    </r>
    <r>
      <rPr>
        <sz val="8"/>
        <color rgb="FF000000"/>
        <rFont val="Meiryo UI"/>
        <family val="3"/>
        <charset val="128"/>
      </rPr>
      <t xml:space="preserve">20 app errors in 3.3 KS (7 tasks) Meets target.
</t>
    </r>
    <r>
      <rPr>
        <b/>
        <sz val="8"/>
        <color rgb="FF000000"/>
        <rFont val="Meiryo UI"/>
        <family val="3"/>
        <charset val="128"/>
      </rPr>
      <t>On-time completion rate:</t>
    </r>
    <r>
      <rPr>
        <sz val="8"/>
        <color rgb="FF000000"/>
        <rFont val="Meiryo UI"/>
        <family val="3"/>
        <charset val="128"/>
      </rPr>
      <t xml:space="preserve"> 85.7%
Above target.</t>
    </r>
  </si>
  <si>
    <t>Members encountered delays due to QAs that were later resolved. Member also spends time analysing test cases.</t>
  </si>
  <si>
    <t>QA13件。うちPJQA5件。
他QAは初歩的な内容はないものの、指導で自己解決が見込めるものも多いので、自分で解決できるようになって作業効率をあげてほしい。</t>
    <rPh sb="16" eb="17">
      <t>ホカ</t>
    </rPh>
    <rPh sb="20" eb="23">
      <t>ショホテキ</t>
    </rPh>
    <rPh sb="24" eb="26">
      <t>ナイヨウ</t>
    </rPh>
    <rPh sb="33" eb="35">
      <t>シドウ</t>
    </rPh>
    <rPh sb="36" eb="40">
      <t>ジコカイケツ</t>
    </rPh>
    <rPh sb="41" eb="43">
      <t>ミコ</t>
    </rPh>
    <rPh sb="48" eb="49">
      <t>オオ</t>
    </rPh>
    <rPh sb="53" eb="55">
      <t>ジブン</t>
    </rPh>
    <rPh sb="56" eb="58">
      <t>カイケツ</t>
    </rPh>
    <rPh sb="67" eb="71">
      <t>サギョウコウリツ</t>
    </rPh>
    <phoneticPr fontId="10"/>
  </si>
  <si>
    <t>Task1:6件、納品資産の不足,構成資産一覧記入不足,テストデータ不備,テストエビデンス不足
Task2:9件、テストエビデンス不足,テストケース過多/不足,画面編集ミス,納品資産の不足
Task3:8件、テストケース理解不足,テストケース過多/不足,納品資産の不足
Task4:8件、テストエビデンス不足,テストケース過多/不足,構成資産一覧記入不足,画面編集ミス
Task5:6件、構成資産一覧記入不足,テストケース過多/不足,単純ミス,画面編集ミス,納品資産の不足,テストエビデンス不足
Task6:1件、テストエビデンス不足</t>
  </si>
  <si>
    <t>①Thorough self check
②Analysis of findings/errors/misses
③Knowledge sharing/best practices by Top Performers</t>
  </si>
  <si>
    <t>Hiroshima
RJ07030G</t>
  </si>
  <si>
    <t>Hiroshima
RJ07031G</t>
  </si>
  <si>
    <t>Hiroshima              
N2J1040G</t>
  </si>
  <si>
    <t>Hiroshima
N2J1041G</t>
  </si>
  <si>
    <t>Hiroshima
RJJ1980G</t>
  </si>
  <si>
    <t>Hiroshima
N204480G</t>
  </si>
  <si>
    <t>Hiroshima
RJ03600G</t>
  </si>
  <si>
    <t>Deneil Carlo Penalba</t>
    <phoneticPr fontId="10"/>
  </si>
  <si>
    <r>
      <rPr>
        <b/>
        <sz val="8"/>
        <color rgb="FF000000"/>
        <rFont val="Meiryo UI"/>
        <family val="3"/>
        <charset val="128"/>
      </rPr>
      <t>Productivity:</t>
    </r>
    <r>
      <rPr>
        <sz val="8"/>
        <color rgb="FF000000"/>
        <rFont val="Meiryo UI"/>
        <family val="3"/>
        <charset val="128"/>
      </rPr>
      <t xml:space="preserve"> 84.4 % in 5 completed tasks. 
Above target.
</t>
    </r>
    <r>
      <rPr>
        <b/>
        <sz val="8"/>
        <color rgb="FF000000"/>
        <rFont val="Meiryo UI"/>
        <family val="3"/>
        <charset val="128"/>
      </rPr>
      <t>Quality:</t>
    </r>
    <r>
      <rPr>
        <sz val="8"/>
        <color rgb="FF000000"/>
        <rFont val="Meiryo UI"/>
        <family val="3"/>
        <charset val="128"/>
      </rPr>
      <t xml:space="preserve"> 7 app errors in 5.2 KS (5 tasks)
Above target.
</t>
    </r>
    <r>
      <rPr>
        <b/>
        <sz val="8"/>
        <color rgb="FF000000"/>
        <rFont val="Meiryo UI"/>
        <family val="3"/>
        <charset val="128"/>
      </rPr>
      <t>On-time completion rate:</t>
    </r>
    <r>
      <rPr>
        <sz val="8"/>
        <color rgb="FF000000"/>
        <rFont val="Meiryo UI"/>
        <family val="3"/>
        <charset val="128"/>
      </rPr>
      <t xml:space="preserve"> 83.3%
Meets target.</t>
    </r>
  </si>
  <si>
    <t>Member spends time in analysis and study since some categories were not covered in OJT phase. Member also conducts debugging of errors prior to raising QAs,</t>
  </si>
  <si>
    <t>QA8件。うちPJQA1件。
直近のQAは指導によって自己解決が見込めるQAが出ているので、今後効率化が見込めると思われる。</t>
  </si>
  <si>
    <t>Task1:10件、テストケース過多/不足、テストデータ不備、納品資産の不足,構成資産一覧記入不足
Task2:7件、テストケース過多/不足、テストエビデンス不足、納品資産の不足
Task3:2件、テストケース理解不足、テストエビデンス不足
Task4:4件、単純ミス、テストエビデンス不足
Task5:1件、構成資産一覧記入不足</t>
  </si>
  <si>
    <r>
      <rPr>
        <b/>
        <sz val="8"/>
        <rFont val="Meiryo UI"/>
        <family val="3"/>
        <charset val="128"/>
      </rPr>
      <t>[Reason for delay even if high productivity/quality]</t>
    </r>
    <r>
      <rPr>
        <sz val="8"/>
        <rFont val="Meiryo UI"/>
        <family val="3"/>
        <charset val="128"/>
      </rPr>
      <t xml:space="preserve">
</t>
    </r>
    <r>
      <rPr>
        <sz val="8"/>
        <rFont val="Meiryo UI"/>
        <family val="2"/>
      </rPr>
      <t>Member also conducts consultation with other members.</t>
    </r>
    <r>
      <rPr>
        <b/>
        <sz val="8"/>
        <rFont val="Meiryo UI"/>
        <family val="2"/>
      </rPr>
      <t xml:space="preserve">
Member has 8 QA's
QA 40 - </t>
    </r>
    <r>
      <rPr>
        <sz val="8"/>
        <rFont val="Meiryo UI"/>
        <family val="2"/>
      </rPr>
      <t>QA date: 11/28</t>
    </r>
    <r>
      <rPr>
        <b/>
        <sz val="8"/>
        <rFont val="Meiryo UI"/>
        <family val="2"/>
      </rPr>
      <t xml:space="preserve">
</t>
    </r>
    <r>
      <rPr>
        <sz val="8"/>
        <rFont val="Meiryo UI"/>
        <family val="2"/>
      </rPr>
      <t xml:space="preserve">Response date: 11/28
</t>
    </r>
    <r>
      <rPr>
        <b/>
        <sz val="8"/>
        <rFont val="Meiryo UI"/>
        <family val="2"/>
      </rPr>
      <t>QA 41</t>
    </r>
    <r>
      <rPr>
        <sz val="8"/>
        <rFont val="Meiryo UI"/>
        <family val="2"/>
      </rPr>
      <t xml:space="preserve"> - QA date 11/28
Response date: 11/29
</t>
    </r>
    <r>
      <rPr>
        <b/>
        <sz val="8"/>
        <rFont val="Meiryo UI"/>
        <family val="2"/>
      </rPr>
      <t>QA 88</t>
    </r>
    <r>
      <rPr>
        <sz val="8"/>
        <rFont val="Meiryo UI"/>
        <family val="2"/>
      </rPr>
      <t xml:space="preserve"> - QA date: 12/1
Response date: 12/2</t>
    </r>
    <r>
      <rPr>
        <b/>
        <sz val="8"/>
        <rFont val="Meiryo UI"/>
        <family val="2"/>
      </rPr>
      <t xml:space="preserve">
QA 201</t>
    </r>
    <r>
      <rPr>
        <sz val="8"/>
        <rFont val="Meiryo UI"/>
        <family val="3"/>
        <charset val="128"/>
      </rPr>
      <t xml:space="preserve"> - QA date: 12/15, Response date: 12/19
</t>
    </r>
    <r>
      <rPr>
        <b/>
        <sz val="8"/>
        <rFont val="Meiryo UI"/>
        <family val="2"/>
      </rPr>
      <t xml:space="preserve">QA 222 - </t>
    </r>
    <r>
      <rPr>
        <sz val="8"/>
        <rFont val="Meiryo UI"/>
        <family val="2"/>
      </rPr>
      <t xml:space="preserve">QA date:12/18
Response date: 12/25
</t>
    </r>
    <r>
      <rPr>
        <b/>
        <sz val="8"/>
        <rFont val="Meiryo UI"/>
        <family val="2"/>
      </rPr>
      <t>QA 317</t>
    </r>
    <r>
      <rPr>
        <sz val="8"/>
        <rFont val="Meiryo UI"/>
        <family val="2"/>
      </rPr>
      <t xml:space="preserve"> - QA date: 01/02
Response date: 01/04
</t>
    </r>
    <r>
      <rPr>
        <b/>
        <sz val="8"/>
        <rFont val="Meiryo UI"/>
        <family val="2"/>
      </rPr>
      <t>QA 557</t>
    </r>
    <r>
      <rPr>
        <sz val="8"/>
        <rFont val="Meiryo UI"/>
        <family val="2"/>
      </rPr>
      <t xml:space="preserve"> - QA date: 01/24 
Response date: 01/24
</t>
    </r>
    <r>
      <rPr>
        <b/>
        <sz val="8"/>
        <rFont val="Meiryo UI"/>
        <family val="2"/>
      </rPr>
      <t>QA 620</t>
    </r>
    <r>
      <rPr>
        <sz val="8"/>
        <rFont val="Meiryo UI"/>
        <family val="2"/>
      </rPr>
      <t xml:space="preserve"> - QA date:
01/31
Response date: 01/31</t>
    </r>
  </si>
  <si>
    <t>"①Thorough self check
②Analysis of findings/errors/misses through QMS
③Knowledge sharing/best practices by Top Performers
④Additional technical TL to support debugging and inquries
⑤Knowledge base creation &amp; maintenance 
⑥QA analysis + survey of common issues
⑦Monitor admin tasks"</t>
  </si>
  <si>
    <t>Hiroshima
RJ83460G</t>
  </si>
  <si>
    <t>Hiroshima
RJ06150G</t>
  </si>
  <si>
    <t>Hiroshima
N202N40G</t>
  </si>
  <si>
    <t>Hiroshima
N203W60G</t>
  </si>
  <si>
    <t>Hiroshima
N203W70G</t>
  </si>
  <si>
    <t>Hiroshima
N207030G</t>
  </si>
  <si>
    <t>Eleazar Torres</t>
  </si>
  <si>
    <r>
      <rPr>
        <b/>
        <sz val="8"/>
        <color rgb="FF000000"/>
        <rFont val="Meiryo UI"/>
        <family val="2"/>
      </rPr>
      <t xml:space="preserve">Productivity: </t>
    </r>
    <r>
      <rPr>
        <sz val="8"/>
        <color rgb="FF000000"/>
        <rFont val="Meiryo UI"/>
        <family val="2"/>
      </rPr>
      <t xml:space="preserve">72.5% in 6 completed tasks. Above target.
</t>
    </r>
    <r>
      <rPr>
        <b/>
        <sz val="8"/>
        <color rgb="FF000000"/>
        <rFont val="Meiryo UI"/>
        <family val="2"/>
      </rPr>
      <t>Quality:</t>
    </r>
    <r>
      <rPr>
        <sz val="8"/>
        <color rgb="FF000000"/>
        <rFont val="Meiryo UI"/>
        <family val="2"/>
      </rPr>
      <t xml:space="preserve"> 9 app errors in 4.5 KS (6 tasks) Above target.
</t>
    </r>
    <r>
      <rPr>
        <b/>
        <sz val="8"/>
        <color rgb="FF000000"/>
        <rFont val="Meiryo UI"/>
        <family val="2"/>
      </rPr>
      <t>On-time completion rate:</t>
    </r>
    <r>
      <rPr>
        <sz val="8"/>
        <color rgb="FF000000"/>
        <rFont val="Meiryo UI"/>
        <family val="2"/>
      </rPr>
      <t xml:space="preserve"> 85.7%
Above target.</t>
    </r>
  </si>
  <si>
    <t>Problem: Delayed Tasks
Rootcause Analysis: Encountered blockers, advanced to succeeding tasks and had to go back once resolved</t>
  </si>
  <si>
    <t>QA31件。うちPJQA4件。
QA件数が多く、手順にない修正が起因となったQAも含まれている。</t>
    <phoneticPr fontId="10"/>
  </si>
  <si>
    <t>Task1:10件、納品資産の不足,テストケース過多/不足,テストケース理解不足,エビデンス不足,単純ミス,構成資産一覧記入不足
Task2:2件、単純ミス,エビデンス不足
Task3:5件、納品資産の不足,テストケース過多/不足,単純ミス</t>
  </si>
  <si>
    <r>
      <rPr>
        <b/>
        <sz val="8"/>
        <rFont val="Meiryo UI"/>
        <family val="2"/>
      </rPr>
      <t>Reason for delay even if high productivity/quality</t>
    </r>
    <r>
      <rPr>
        <sz val="8"/>
        <rFont val="Meiryo UI"/>
        <family val="2"/>
      </rPr>
      <t xml:space="preserve">
</t>
    </r>
    <r>
      <rPr>
        <b/>
        <sz val="8"/>
        <rFont val="Meiryo UI"/>
        <family val="2"/>
      </rPr>
      <t xml:space="preserve">
23 QAs logged:
1 day resolution: </t>
    </r>
    <r>
      <rPr>
        <sz val="8"/>
        <rFont val="Meiryo UI"/>
        <family val="2"/>
      </rPr>
      <t>QA 52,53,58,65,164,690,692</t>
    </r>
    <r>
      <rPr>
        <b/>
        <sz val="8"/>
        <rFont val="Meiryo UI"/>
        <family val="2"/>
      </rPr>
      <t xml:space="preserve">
2 day resolution: </t>
    </r>
    <r>
      <rPr>
        <sz val="8"/>
        <rFont val="Meiryo UI"/>
        <family val="2"/>
      </rPr>
      <t>QA 126,127,180,314,428,544,456,315</t>
    </r>
    <r>
      <rPr>
        <b/>
        <sz val="8"/>
        <rFont val="Meiryo UI"/>
        <family val="2"/>
      </rPr>
      <t xml:space="preserve">
3 day resolution: </t>
    </r>
    <r>
      <rPr>
        <sz val="8"/>
        <rFont val="Meiryo UI"/>
        <family val="2"/>
      </rPr>
      <t>QA 105,340,386,392</t>
    </r>
    <r>
      <rPr>
        <b/>
        <sz val="8"/>
        <rFont val="Meiryo UI"/>
        <family val="2"/>
      </rPr>
      <t xml:space="preserve">
Over 5 days: </t>
    </r>
    <r>
      <rPr>
        <sz val="8"/>
        <rFont val="Meiryo UI"/>
        <family val="2"/>
      </rPr>
      <t>QA 316,336,346,341</t>
    </r>
    <r>
      <rPr>
        <b/>
        <sz val="8"/>
        <rFont val="Meiryo UI"/>
        <family val="2"/>
      </rPr>
      <t xml:space="preserve"> 
</t>
    </r>
    <r>
      <rPr>
        <sz val="8"/>
        <rFont val="Meiryo UI"/>
        <family val="2"/>
      </rPr>
      <t xml:space="preserve">
</t>
    </r>
    <r>
      <rPr>
        <b/>
        <sz val="8"/>
        <rFont val="Meiryo UI"/>
        <family val="2"/>
      </rPr>
      <t xml:space="preserve">
</t>
    </r>
    <r>
      <rPr>
        <sz val="8"/>
        <rFont val="Meiryo UI"/>
        <family val="2"/>
      </rPr>
      <t xml:space="preserve">生産性・品質が高くても遅延の原因
23個のQAを記録:
1日で解決:QA 52、53、58、65,164、690,692
2日以内の解決:QA 126,127,180,314,428,544,456,315
3日以内の解決:QA 105,340,386,392
5日以上:QA 316,336,346,341
</t>
    </r>
    <phoneticPr fontId="10"/>
  </si>
  <si>
    <t>Member advanced to his Kaizen Tasks while waiting for QA resolution and review response .Member is also proactive in identifying if there are possible blockers in his tasks and consults other members before filing QA.
メンバーは、QAの解決とレビューの回答を待っている間に、カイゼンのタスクに進みました。メンバーはまた、自分のタスクに潜在的な障害があるかどうかを積極的に特定し、QAを提出する前に他のメンバーに相談します。</t>
  </si>
  <si>
    <t xml:space="preserve">①Thorough self check
②Analysis of findings/errors/misses
③Knowledge sharing/best practices by Top Performers
④Knowledge base creation &amp; maintenance 
⑤QA analysis + survey of common issues and resolution"
</t>
  </si>
  <si>
    <t>Hiroshima
RJJ1020G</t>
  </si>
  <si>
    <t>Hiroshima
RJ06190G</t>
  </si>
  <si>
    <t>Hiroshima
N203030G
(Blocked)</t>
  </si>
  <si>
    <t>Hiroshima
N203031G
(Blocked)</t>
  </si>
  <si>
    <t>Hiroshima
N207040G</t>
  </si>
  <si>
    <t>Hiroshima
N207060G</t>
  </si>
  <si>
    <t>Hiroshima
RJ03620G</t>
  </si>
  <si>
    <t>Gilbert Jay  Maminta</t>
  </si>
  <si>
    <r>
      <rPr>
        <b/>
        <sz val="8"/>
        <color rgb="FF000000"/>
        <rFont val="Meiryo UI"/>
        <family val="3"/>
        <charset val="128"/>
      </rPr>
      <t>Productivity:</t>
    </r>
    <r>
      <rPr>
        <sz val="8"/>
        <color rgb="FF000000"/>
        <rFont val="Meiryo UI"/>
        <family val="3"/>
        <charset val="128"/>
      </rPr>
      <t xml:space="preserve"> 74.2% in 7 completed tasks. Above target.
</t>
    </r>
    <r>
      <rPr>
        <b/>
        <sz val="8"/>
        <color rgb="FF000000"/>
        <rFont val="Meiryo UI"/>
        <family val="3"/>
        <charset val="128"/>
      </rPr>
      <t xml:space="preserve">Quality: </t>
    </r>
    <r>
      <rPr>
        <sz val="8"/>
        <color rgb="FF000000"/>
        <rFont val="Meiryo UI"/>
        <family val="3"/>
        <charset val="128"/>
      </rPr>
      <t xml:space="preserve">9 app errors in 8.1KS (6 tasks)
Meets target
</t>
    </r>
    <r>
      <rPr>
        <b/>
        <sz val="8"/>
        <color rgb="FF000000"/>
        <rFont val="Meiryo UI"/>
        <family val="3"/>
        <charset val="128"/>
      </rPr>
      <t>On-time completion rate:</t>
    </r>
    <r>
      <rPr>
        <sz val="8"/>
        <color rgb="FF000000"/>
        <rFont val="Meiryo UI"/>
        <family val="3"/>
        <charset val="128"/>
      </rPr>
      <t xml:space="preserve"> 85.7%
Below rarget.</t>
    </r>
  </si>
  <si>
    <t>QA3件。うちPJQA2件。
QA件数が少なく、自己解決が難しいQAのみのため問題ないと思われる。</t>
    <rPh sb="17" eb="19">
      <t>ケンスウ</t>
    </rPh>
    <rPh sb="20" eb="21">
      <t>スク</t>
    </rPh>
    <rPh sb="24" eb="28">
      <t>ジコカイケツ</t>
    </rPh>
    <rPh sb="29" eb="30">
      <t>ムズカ</t>
    </rPh>
    <rPh sb="39" eb="41">
      <t>モンダイ</t>
    </rPh>
    <rPh sb="44" eb="45">
      <t>オモ</t>
    </rPh>
    <phoneticPr fontId="10"/>
  </si>
  <si>
    <t>Task1:7件、画面編集ミス、テストエビデンス不足,単純ミス、テストケース理解不足
Task2:2件、テストケース過多/不足、単純ミス
Task3:6件、画面編集ミス、テストエビデンス不足,単純ミス
Task4:3件、仕様書雛形の選択ミス,単純ミス
Task5:2件、テストケース過多/不足、テストエビデンス不足
Task6:6件、テストエビデンス不足、エビデンス改善要、単純ミス
Task7:1件、単純ミス
Task8:5件、テストケース過多/不足、テストエビデンス不足</t>
  </si>
  <si>
    <r>
      <t xml:space="preserve">Low Quality Explanation:
</t>
    </r>
    <r>
      <rPr>
        <sz val="8"/>
        <color rgb="FF000000"/>
        <rFont val="Meiryo UI"/>
        <family val="3"/>
        <charset val="128"/>
      </rPr>
      <t>Findings were mostly related to simple mistakes and not enough understanding of test cases.
低品質の説明:
発見のほとんどは単純なミスとテストケースの十分な理解に関連していた。</t>
    </r>
  </si>
  <si>
    <t>Member was one of the advanced members in the start of Transition but encountered delays due to blockers. 
Member to conduct thorough self-check and will take note of previous findings in Transition phase.
メンバーは、Transitionの開始時に上級メンバーの1人でしたが、ブロッカーによる遅延が発生しました。
メンバーは、徹底したセルフチェックを行い、移行フェーズでの以前の調査結果に留意する。</t>
  </si>
  <si>
    <t>Hiroshima
RJ80Z40G</t>
  </si>
  <si>
    <t>Hiroshima
RJ05670G</t>
  </si>
  <si>
    <t>Hiroshima
N203R20G</t>
  </si>
  <si>
    <t>Hiroshima
N203R21G</t>
  </si>
  <si>
    <t>Hiroshima
RJ07Z40G</t>
  </si>
  <si>
    <t>Hiroshima
N202N10G</t>
  </si>
  <si>
    <t>Hiroshima
RJ03800G</t>
  </si>
  <si>
    <t>James Patrick Fernandez</t>
  </si>
  <si>
    <r>
      <rPr>
        <b/>
        <sz val="8"/>
        <color rgb="FF000000"/>
        <rFont val="Meiryo UI"/>
        <family val="2"/>
      </rPr>
      <t>Productivity</t>
    </r>
    <r>
      <rPr>
        <sz val="8"/>
        <color rgb="FF000000"/>
        <rFont val="Meiryo UI"/>
        <family val="2"/>
      </rPr>
      <t xml:space="preserve">: 73.3.% in 4 completed tasks. Above target.
</t>
    </r>
    <r>
      <rPr>
        <b/>
        <sz val="8"/>
        <color rgb="FF000000"/>
        <rFont val="Meiryo UI"/>
        <family val="2"/>
      </rPr>
      <t>Quality:</t>
    </r>
    <r>
      <rPr>
        <sz val="8"/>
        <color rgb="FF000000"/>
        <rFont val="Meiryo UI"/>
        <family val="2"/>
      </rPr>
      <t xml:space="preserve"> 12 app errors in 10.3KS (4 tasks)
Above target.
</t>
    </r>
    <r>
      <rPr>
        <b/>
        <sz val="8"/>
        <color rgb="FF000000"/>
        <rFont val="Meiryo UI"/>
        <family val="2"/>
      </rPr>
      <t>On-time completion rate:</t>
    </r>
    <r>
      <rPr>
        <sz val="8"/>
        <color rgb="FF000000"/>
        <rFont val="Meiryo UI"/>
        <family val="2"/>
      </rPr>
      <t xml:space="preserve"> 80.0%
Meets target.</t>
    </r>
  </si>
  <si>
    <t>Member spends time conducting peer review and task consultation. Member also spends time in analysis and debugging before filing for QA.</t>
  </si>
  <si>
    <t>QA12件。うちPJQA1件。
データに関するQAが多く、ロジックミスなどのQAは少ない。</t>
    <rPh sb="20" eb="21">
      <t>カン</t>
    </rPh>
    <rPh sb="26" eb="27">
      <t>オオ</t>
    </rPh>
    <rPh sb="41" eb="42">
      <t>スク</t>
    </rPh>
    <phoneticPr fontId="10"/>
  </si>
  <si>
    <t>Task1:6件、画面編集ミス,単純ミス,テストデータ不備,テストケース過多/不足,テストエビ+AF15デンス不足,エビデンス改善要
Task2:8件、画面編集ミス,単純ミス,テストケース過多/不足,テストケース理解不足,テストエビデンス不足
Task3:4件、テストエビデンス不足,画面編集ミス,単純ミス
Task4:4件、テストエビデンス不足,テストケース過多/不足,エビデンス改善要,画面編集ミス</t>
  </si>
  <si>
    <t xml:space="preserve">Hiroshima
RJ12010G
</t>
  </si>
  <si>
    <t>Hiroshima
N203R10G</t>
  </si>
  <si>
    <t>Hiroshima
N203R11G</t>
  </si>
  <si>
    <t>Hiroshima
N204130G</t>
  </si>
  <si>
    <t>Hiroshima
N204131G</t>
  </si>
  <si>
    <t>Janssen Donato</t>
  </si>
  <si>
    <r>
      <rPr>
        <b/>
        <sz val="8"/>
        <color rgb="FF000000"/>
        <rFont val="Meiryo UI"/>
        <family val="3"/>
        <charset val="128"/>
      </rPr>
      <t xml:space="preserve">Productivity: </t>
    </r>
    <r>
      <rPr>
        <sz val="8"/>
        <color rgb="FF000000"/>
        <rFont val="Meiryo UI"/>
        <family val="3"/>
        <charset val="128"/>
      </rPr>
      <t xml:space="preserve">124.5% in 6 completed tasks.
Above target
</t>
    </r>
    <r>
      <rPr>
        <b/>
        <sz val="8"/>
        <color rgb="FF000000"/>
        <rFont val="Meiryo UI"/>
        <family val="3"/>
        <charset val="128"/>
      </rPr>
      <t xml:space="preserve">Quality: </t>
    </r>
    <r>
      <rPr>
        <sz val="8"/>
        <color rgb="FF000000"/>
        <rFont val="Meiryo UI"/>
        <family val="3"/>
        <charset val="128"/>
      </rPr>
      <t xml:space="preserve">6 app errors in 2KS (6 tasks)
Above target.
</t>
    </r>
    <r>
      <rPr>
        <b/>
        <sz val="8"/>
        <color rgb="FF000000"/>
        <rFont val="Meiryo UI"/>
        <family val="3"/>
        <charset val="128"/>
      </rPr>
      <t>On-time completion rate:</t>
    </r>
    <r>
      <rPr>
        <sz val="8"/>
        <color rgb="FF000000"/>
        <rFont val="Meiryo UI"/>
        <family val="3"/>
        <charset val="128"/>
      </rPr>
      <t xml:space="preserve"> 85.7%
Above target.</t>
    </r>
  </si>
  <si>
    <t>QA23件。うちPJQA2件。
QA件数は多めだが、環境起因のエラーやV2V3非互換に関する質問も含まれており、内容としておおむね問題はない。</t>
    <phoneticPr fontId="10"/>
  </si>
  <si>
    <t>Task1:2件、テストエビデンス不足、単純ミス
Task2:10件、テストケース理解不足、テストケース過多/不足、テストエビデンス不足,画面編集ミス
Task3:6件、テストケース理解不足、テストケース過多/不足、テストエビデンス不足
Task4:3件、テストケース理解不足、テストケース過多/不足、納品資産の不足
Task5:4件、テストケース理解不足、テストケース過多/不足、テストエビデンス不足
Task6:4件、テストケース過多/不足、テストエビデンス不足,画面編集ミス</t>
  </si>
  <si>
    <r>
      <t xml:space="preserve">Reason for delay even if high productivity/quality
Review Response
</t>
    </r>
    <r>
      <rPr>
        <sz val="8"/>
        <color rgb="FF000000"/>
        <rFont val="Meiryo UI"/>
        <family val="2"/>
      </rPr>
      <t>2 day response: KUJ1S20 PG PT, N205130 PG, N240050 PG, KU038C0 PG
3 day response: N205130 PT, N205131 PT, N202NC0 PG
5 day response: KU038C0 PT, N202NC0 PT</t>
    </r>
    <r>
      <rPr>
        <b/>
        <sz val="8"/>
        <color rgb="FF000000"/>
        <rFont val="Meiryo UI"/>
        <family val="2"/>
      </rPr>
      <t xml:space="preserve">
QA Resolution: 
</t>
    </r>
    <r>
      <rPr>
        <sz val="8"/>
        <color rgb="FF000000"/>
        <rFont val="Meiryo UI"/>
        <family val="2"/>
      </rPr>
      <t xml:space="preserve">3 day resolution: QA 242
4 day resolution:: QA 240, 371
Over 5 days: QA 218, 283
生産性・品質が高くても遅延の原因
回答の確認
2日反応:KUJ1S20 PG PT, N205130 PG, N240050 PG, KU038C0 PG
3日間反応:N205130 PT, N205131 PT, N202NC0 PG
5日間反応:KU038C0 PT, N202NC0 PT
QA解決策:
3日以内の解決:QA 242
4日以内の解決::QA 240,371
5日以上:QA 218,283
</t>
    </r>
  </si>
  <si>
    <t xml:space="preserve">
Member advanced to his Kaizen Tasks while waiting for QA resolution and review response. Due to his blockers, he was also reassigned a task from another member but was given back to the original member as per FJJ instruction. 
メンバーは、QAの解決とレビューの回答を待っている間に、カイゼンのタスクに進みました。彼のブロッカーのために、彼も他のメンバーからタスクを再割り当てされましたが、FJJの指示に従って元のメンバーに戻されました。</t>
  </si>
  <si>
    <t>Hiroshima
RJJ1S20G</t>
  </si>
  <si>
    <t>Hiroshima
N205130G</t>
  </si>
  <si>
    <t>Hiroshima
N205131G</t>
  </si>
  <si>
    <t>Hiroshima
N240050G</t>
  </si>
  <si>
    <t>Hiroshima
N240051G</t>
  </si>
  <si>
    <t>Hiroshima
RJ038C0G</t>
  </si>
  <si>
    <t>Hiroshima
N202NC0G</t>
  </si>
  <si>
    <t>Jennilyn Natad</t>
  </si>
  <si>
    <r>
      <rPr>
        <b/>
        <sz val="8"/>
        <color rgb="FF000000"/>
        <rFont val="Meiryo UI"/>
        <family val="3"/>
        <charset val="128"/>
      </rPr>
      <t xml:space="preserve">Productivity: </t>
    </r>
    <r>
      <rPr>
        <sz val="8"/>
        <color rgb="FF000000"/>
        <rFont val="Meiryo UI"/>
        <family val="3"/>
        <charset val="128"/>
      </rPr>
      <t xml:space="preserve">63.4% in 7 completed tasks. Meets target.
</t>
    </r>
    <r>
      <rPr>
        <b/>
        <sz val="8"/>
        <color rgb="FF000000"/>
        <rFont val="Meiryo UI"/>
        <family val="3"/>
        <charset val="128"/>
      </rPr>
      <t xml:space="preserve">Quality: </t>
    </r>
    <r>
      <rPr>
        <sz val="8"/>
        <color rgb="FF000000"/>
        <rFont val="Meiryo UI"/>
        <family val="3"/>
        <charset val="128"/>
      </rPr>
      <t xml:space="preserve">6 app errors in 4.1KS (7 tasks)
Above target.
</t>
    </r>
    <r>
      <rPr>
        <b/>
        <sz val="8"/>
        <color rgb="FF000000"/>
        <rFont val="Meiryo UI"/>
        <family val="3"/>
        <charset val="128"/>
      </rPr>
      <t>On-time completion rate:</t>
    </r>
    <r>
      <rPr>
        <sz val="8"/>
        <color rgb="FF000000"/>
        <rFont val="Meiryo UI"/>
        <family val="3"/>
        <charset val="128"/>
      </rPr>
      <t xml:space="preserve"> 100%
Above target.</t>
    </r>
  </si>
  <si>
    <t>Members encountered delays due to QAs that were later resolved. Member also spends time analysing test cases and debugging encountered issues.</t>
  </si>
  <si>
    <t>QA21件。うちPJQA4件。
ロジックとレイアウトに関するQAが多く見られる。</t>
    <phoneticPr fontId="10"/>
  </si>
  <si>
    <t>Task1:7件、エビデンス改善要、テストエビデンス不足、テストケース理解不足,テストケース過多/不足,納品資産の不足,規約違反
Task2:10件、テストケース理解不足,テストケース過多/不足,再テスト要,単純ミス,構成資産一覧記入不足,画面編集ミス
Task3:10件、画面編集ミス,構成資産一覧記入不足,単純ミス,テストケース過多/不足,チェックリスト記入不足,エビデンス不足
Task4:4件、構成資産一覧記入不足,エビデンス改善要,納品資産の不足,チェックリスト記入不足
Task5:4件、エビデンス不足,単純ミス,テストケース過多/不足,納品資産の不足
Task6:3件、テストケース過多/不足,単純ミス,納品資産の不足</t>
  </si>
  <si>
    <t>Hiroshima
RJ06140G</t>
  </si>
  <si>
    <t>Hiroshima
N204800G</t>
  </si>
  <si>
    <t>Hiroshima
N204801G</t>
  </si>
  <si>
    <t>Hiroshima
N204802G</t>
  </si>
  <si>
    <t>Hiroshima
N206730G</t>
  </si>
  <si>
    <t>Hiroshima
N207010G</t>
  </si>
  <si>
    <t>Hiroshima
N202NF0G</t>
  </si>
  <si>
    <t>Jim Rhose David</t>
  </si>
  <si>
    <r>
      <rPr>
        <b/>
        <sz val="8"/>
        <color rgb="FF000000"/>
        <rFont val="Meiryo UI"/>
        <family val="3"/>
        <charset val="128"/>
      </rPr>
      <t xml:space="preserve">Productivity: </t>
    </r>
    <r>
      <rPr>
        <sz val="8"/>
        <color rgb="FF000000"/>
        <rFont val="Meiryo UI"/>
        <family val="3"/>
        <charset val="128"/>
      </rPr>
      <t xml:space="preserve">65.6% in 4 completed tasks. Meets target.
</t>
    </r>
    <r>
      <rPr>
        <b/>
        <sz val="8"/>
        <color rgb="FF000000"/>
        <rFont val="Meiryo UI"/>
        <family val="3"/>
        <charset val="128"/>
      </rPr>
      <t xml:space="preserve">Quality: </t>
    </r>
    <r>
      <rPr>
        <sz val="8"/>
        <color rgb="FF000000"/>
        <rFont val="Meiryo UI"/>
        <family val="3"/>
        <charset val="128"/>
      </rPr>
      <t xml:space="preserve">8 app errors in 5.4 KS (4 tasks)
Above target.
</t>
    </r>
    <r>
      <rPr>
        <b/>
        <sz val="8"/>
        <color rgb="FF000000"/>
        <rFont val="Meiryo UI"/>
        <family val="3"/>
        <charset val="128"/>
      </rPr>
      <t>On-time completion rate:</t>
    </r>
    <r>
      <rPr>
        <sz val="8"/>
        <color rgb="FF000000"/>
        <rFont val="Meiryo UI"/>
        <family val="3"/>
        <charset val="128"/>
      </rPr>
      <t xml:space="preserve"> 100.0%
Above target.</t>
    </r>
  </si>
  <si>
    <t>Member took longer time to complete task due to high complexity and required  analysis and consultation.</t>
  </si>
  <si>
    <t>QA10件。うちPJQA3件。
データ不足や画面パラメータ不明などのQAが上がっているが、勉強会での指導などで自己解決が見込める。</t>
    <rPh sb="19" eb="21">
      <t>フソク</t>
    </rPh>
    <rPh sb="22" eb="24">
      <t>ガメン</t>
    </rPh>
    <rPh sb="29" eb="31">
      <t>フメイ</t>
    </rPh>
    <rPh sb="37" eb="38">
      <t>ア</t>
    </rPh>
    <rPh sb="45" eb="48">
      <t>ベンキョウカイ</t>
    </rPh>
    <rPh sb="50" eb="52">
      <t>シドウ</t>
    </rPh>
    <rPh sb="55" eb="59">
      <t>ジコカイケツ</t>
    </rPh>
    <rPh sb="60" eb="62">
      <t>ミコ</t>
    </rPh>
    <phoneticPr fontId="10"/>
  </si>
  <si>
    <t>Task1:7件、テストケース過多/不足、単純ミス、テストエビデンス不足
Task2:5件、画面編集ミス、テストエビデンス不足、単純ミス
Task3:7件、テストケース過多/不足、単純ミス、テストエビデンス不足
Task4:3件、画面編集ミス、テストエビデンス不足、テストケース過多/不足</t>
  </si>
  <si>
    <t>Hiroshima
RJ40K30G</t>
  </si>
  <si>
    <t>Hiroshima
RJ05610G</t>
  </si>
  <si>
    <t>Hiroshima
RJ07420G</t>
  </si>
  <si>
    <t xml:space="preserve">Hiroshima
RJ07421G </t>
  </si>
  <si>
    <t>Jimbo Marasigan</t>
  </si>
  <si>
    <r>
      <rPr>
        <b/>
        <sz val="8"/>
        <color rgb="FF000000"/>
        <rFont val="Meiryo UI"/>
        <family val="3"/>
        <charset val="128"/>
      </rPr>
      <t xml:space="preserve">Productivity: </t>
    </r>
    <r>
      <rPr>
        <sz val="8"/>
        <color rgb="FF000000"/>
        <rFont val="Meiryo UI"/>
        <family val="3"/>
        <charset val="128"/>
      </rPr>
      <t xml:space="preserve">131.3% in 7 completed tasks. Above target.
</t>
    </r>
    <r>
      <rPr>
        <b/>
        <sz val="8"/>
        <color rgb="FF000000"/>
        <rFont val="Meiryo UI"/>
        <family val="3"/>
        <charset val="128"/>
      </rPr>
      <t xml:space="preserve">Quality: </t>
    </r>
    <r>
      <rPr>
        <sz val="8"/>
        <color rgb="FF000000"/>
        <rFont val="Meiryo UI"/>
        <family val="3"/>
        <charset val="128"/>
      </rPr>
      <t xml:space="preserve">14 app errors in 4.3 KS (7 tasks)
Below target.
</t>
    </r>
    <r>
      <rPr>
        <b/>
        <sz val="8"/>
        <color rgb="FF000000"/>
        <rFont val="Meiryo UI"/>
        <family val="3"/>
        <charset val="128"/>
      </rPr>
      <t>On-time completion rate:</t>
    </r>
    <r>
      <rPr>
        <sz val="8"/>
        <color rgb="FF000000"/>
        <rFont val="Meiryo UI"/>
        <family val="3"/>
        <charset val="128"/>
      </rPr>
      <t xml:space="preserve"> 100.0%
Above target.</t>
    </r>
  </si>
  <si>
    <t>Member took longer time to complete task due to high complexity and required  analysis and consultation. Also encountered blockers and advanced to next tasks that are out-of-scope but went back once blockers were resolved.</t>
  </si>
  <si>
    <t>QA19件。うちPJQA2件。
JGGが回答した内容通りの対応をせずに再質問しているケースが見られる。</t>
    <phoneticPr fontId="10"/>
  </si>
  <si>
    <t>Task1:7件、テストケース過多/不足、単純ミス、テストエビデンス不足、テストケース理解不足、納品資産の不足
Task2:9件、テストエビデンス不足、テストケース過多/不足,画面編集ミス,構成資産一覧記入不足
Task3:14件、構成資産一覧記入不足、納品資産の不足、テストケース過多/不足、テストケース理解不足、仕様書雛形の選択ミス
Task4:0件
Task5:8件、画面編集ミス、エビデンス改善要、テストケース過多/不足、テストケース理解不足
Task6:2件、テストケース過多/不足</t>
  </si>
  <si>
    <r>
      <t xml:space="preserve">Low Quality Explanation
</t>
    </r>
    <r>
      <rPr>
        <sz val="8"/>
        <rFont val="Meiryo UI"/>
        <family val="2"/>
      </rPr>
      <t>Most findings were related to lack of understanding of test cases, lack of test evidence, lack of delivered assets, and simple mistakes. Member also had difficulties in tasks with parent/child screens resulting to findings.
低品質の説明
ほとんどの発見は、テストケースの理解不足、テストエビデンスの不足、提供された資産の不足、単純なミスに関連していた。また、メンバーは、親/子画面を使用した作業に困難があり、所見が得られた。</t>
    </r>
  </si>
  <si>
    <t>Member recently completed all his tasks with 1 finding on his RJ04130G and 0 finding on RJ038F0G. Member already started on his Kaizen tasks. Kaizen Task 1 has 5 minor internal findings and Kaizen Task 2 has 3 minor internal findings. Quality has improved for Kaizen but still needs to work on his self-check.
メンバーは最近すべてのタスクを完了しましたが、タスク7の結果はまだ利用できません。メンバーはすでにカイゼン作業に着手しています。改善タスク1には5つの軽微な内部調査結果があり、改善タスク2には3つの軽微な内部調査結果があります。カイゼンの品質は向上しましたが、まだ自己チェックに取り組む必要があります。</t>
  </si>
  <si>
    <t>Hiroshima
RJ06170G</t>
  </si>
  <si>
    <t>Hiroshima
N206700G</t>
  </si>
  <si>
    <t>Hiroshima
N206701G</t>
  </si>
  <si>
    <t>Hiroshima
N206702G</t>
  </si>
  <si>
    <t>Hiroshima
RJ04130G</t>
  </si>
  <si>
    <t>Hiroshima
N204450G</t>
  </si>
  <si>
    <t>Hiroshima
RJ038F0G</t>
  </si>
  <si>
    <t>Jomari Decena</t>
  </si>
  <si>
    <r>
      <rPr>
        <b/>
        <sz val="8"/>
        <color rgb="FF000000"/>
        <rFont val="Meiryo UI"/>
        <family val="2"/>
      </rPr>
      <t xml:space="preserve">Productivity: </t>
    </r>
    <r>
      <rPr>
        <sz val="8"/>
        <color rgb="FF000000"/>
        <rFont val="Meiryo UI"/>
        <family val="2"/>
      </rPr>
      <t xml:space="preserve">90% in 4 completed tasks. Above target.
</t>
    </r>
    <r>
      <rPr>
        <b/>
        <sz val="8"/>
        <color rgb="FF000000"/>
        <rFont val="Meiryo UI"/>
        <family val="2"/>
      </rPr>
      <t xml:space="preserve">Quality: </t>
    </r>
    <r>
      <rPr>
        <sz val="8"/>
        <color rgb="FF000000"/>
        <rFont val="Meiryo UI"/>
        <family val="2"/>
      </rPr>
      <t xml:space="preserve">9 app errors in 7.5 KS (4 tasks)
Above target.
</t>
    </r>
    <r>
      <rPr>
        <b/>
        <sz val="8"/>
        <color rgb="FF000000"/>
        <rFont val="Meiryo UI"/>
        <family val="2"/>
      </rPr>
      <t>On-time completion rate:</t>
    </r>
    <r>
      <rPr>
        <sz val="8"/>
        <color rgb="FF000000"/>
        <rFont val="Meiryo UI"/>
        <family val="2"/>
      </rPr>
      <t xml:space="preserve"> 100%
Above target.</t>
    </r>
  </si>
  <si>
    <t>NA</t>
  </si>
  <si>
    <t>Hiroshima
RJ07Z50G</t>
  </si>
  <si>
    <t>Hiroshima
N2J1060G</t>
  </si>
  <si>
    <t>Hiroshima
N2J1061G</t>
  </si>
  <si>
    <t>Hiroshima
N205120G</t>
  </si>
  <si>
    <t>Jonald Diesta</t>
  </si>
  <si>
    <r>
      <t xml:space="preserve">Productivity: </t>
    </r>
    <r>
      <rPr>
        <sz val="8"/>
        <color rgb="FF000000"/>
        <rFont val="Meiryo UI"/>
        <family val="2"/>
      </rPr>
      <t>108.2% in 6 completed tasks. Above target.</t>
    </r>
    <r>
      <rPr>
        <b/>
        <sz val="8"/>
        <color rgb="FF000000"/>
        <rFont val="Meiryo UI"/>
        <family val="2"/>
      </rPr>
      <t xml:space="preserve">
Quality: </t>
    </r>
    <r>
      <rPr>
        <sz val="8"/>
        <color rgb="FF000000"/>
        <rFont val="Meiryo UI"/>
        <family val="2"/>
      </rPr>
      <t>16 app errors in 2.7 KS. Above target.</t>
    </r>
    <r>
      <rPr>
        <b/>
        <sz val="8"/>
        <color rgb="FF000000"/>
        <rFont val="Meiryo UI"/>
        <family val="2"/>
      </rPr>
      <t xml:space="preserve">
On-time completion rate: 100%
Above target.</t>
    </r>
  </si>
  <si>
    <t>QA12件。うちPJQA6件。
内容はデータ不足に伴うものでおおむね問題ない。</t>
    <phoneticPr fontId="10"/>
  </si>
  <si>
    <t>Task1:10件、テストケース過多/不足、エビデンス改善要,構成資産一覧記入不足、テストエビデンス不足
Task2:5件、テストケース過多/不足、構成資産一覧記入不足、納品資産の不足
Task3:5件、テストケース過多/不足、納品資産の不足
Task4:３件、画面編集ミス、仕様書雛形の選択ミス、テストケース理解不足
Task5:2件、テストケース過多/不足、テストケース理解不足
Task6:6件、テストケース過多/不足、テストエビデンス不足、テストケース理解不足</t>
  </si>
  <si>
    <t>"①Thorough self check
②Analysis of findings/errors/misses through QMS
③Knowledge sharing/best practices by Top Performers
④Knowledge base creation &amp; maintenance 
⑤QA analysis + survey of common issues and resolution"</t>
  </si>
  <si>
    <t>Hiroshima
RJ40K40G</t>
  </si>
  <si>
    <t>Hiroshima
RJ05630G</t>
  </si>
  <si>
    <t>Hiroshima
RJ07Z10G</t>
  </si>
  <si>
    <t>Hiroshima
RJ04120G</t>
  </si>
  <si>
    <t>Hiroshima
N202G60G</t>
  </si>
  <si>
    <t>Joshua Bohol</t>
    <phoneticPr fontId="10"/>
  </si>
  <si>
    <r>
      <rPr>
        <b/>
        <sz val="8"/>
        <color rgb="FF000000"/>
        <rFont val="Meiryo UI"/>
        <family val="3"/>
        <charset val="128"/>
      </rPr>
      <t xml:space="preserve">Productivity: </t>
    </r>
    <r>
      <rPr>
        <sz val="8"/>
        <color rgb="FF000000"/>
        <rFont val="Meiryo UI"/>
        <family val="3"/>
        <charset val="128"/>
      </rPr>
      <t xml:space="preserve">82.4% in 6 completed tasks. Anove target.
</t>
    </r>
    <r>
      <rPr>
        <b/>
        <sz val="8"/>
        <color rgb="FF000000"/>
        <rFont val="Meiryo UI"/>
        <family val="3"/>
        <charset val="128"/>
      </rPr>
      <t xml:space="preserve">Quality: </t>
    </r>
    <r>
      <rPr>
        <sz val="8"/>
        <color rgb="FF000000"/>
        <rFont val="Meiryo UI"/>
        <family val="3"/>
        <charset val="128"/>
      </rPr>
      <t xml:space="preserve">3 app errors in 0.6 KS (6 tasks)
Meets target.
</t>
    </r>
    <r>
      <rPr>
        <b/>
        <sz val="8"/>
        <color rgb="FF000000"/>
        <rFont val="Meiryo UI"/>
        <family val="3"/>
        <charset val="128"/>
      </rPr>
      <t>On-time completion rate:</t>
    </r>
    <r>
      <rPr>
        <sz val="8"/>
        <color rgb="FF000000"/>
        <rFont val="Meiryo UI"/>
        <family val="3"/>
        <charset val="128"/>
      </rPr>
      <t xml:space="preserve"> 100.0%
Above target.</t>
    </r>
  </si>
  <si>
    <t>Member took longer time to complete task due to high complexity and required  analysis and consultation. Assigned tasks were also not covered during OJT phase.</t>
  </si>
  <si>
    <t>QA13件。うちPJQA2件。
データおよびアップロードファイルの要求QAが多い。</t>
  </si>
  <si>
    <t>Task1:3件、テストケース過多/不足、単純ミス,構成資産一覧記入不足
Task2:4件、テストエビデンス不足、エビデンス改善要
Task3:8件、チェックリスト記入不足、テストケース過多/不足、構成資産一覧記入不足、単純ミス
Task4:5件、構成資産一覧記入不足,テストケース過多/不足、テストエビデンス不足
Task5:10件、テストケース過多/不足、エビデンス改善要、テストエビデンス不足、納品資産の不足,画面編集ミス</t>
  </si>
  <si>
    <r>
      <t xml:space="preserve">Low Quality Explanation:
</t>
    </r>
    <r>
      <rPr>
        <sz val="8"/>
        <rFont val="Meiryo UI"/>
        <family val="2"/>
      </rPr>
      <t>Member was not familiar with the components in webdesigner and test cases encountered and need further clarification with the reviewer to understand the findings.</t>
    </r>
    <r>
      <rPr>
        <b/>
        <sz val="8"/>
        <rFont val="Meiryo UI"/>
        <family val="2"/>
      </rPr>
      <t xml:space="preserve">
</t>
    </r>
    <r>
      <rPr>
        <sz val="8"/>
        <rFont val="Meiryo UI"/>
        <family val="3"/>
        <charset val="128"/>
      </rPr>
      <t>低品質の説明:
メンバーは、ウェブデザイナーのコンポーネントと発生したテストケースに精通しておらず、調査結果を理解するためにレビュアーとのさらなる説明が必要です。</t>
    </r>
  </si>
  <si>
    <t>Member to review documentation on components and take note of findings regarding test cases in Transition phase.
コンポーネントに関するドキュメントをレビューし、移行フェーズのテストケースに関する調査結果をメモするメンバー。</t>
  </si>
  <si>
    <t>①Thorough self check
②Analysis of findings/errors/misses
③Knowledge sharing/best practices by Top Performers
④Knowledge base creation &amp; maintenance 
⑤QA analysis + survey of common issues and resolution</t>
  </si>
  <si>
    <t>Hiroshima
RJ40K10G</t>
  </si>
  <si>
    <t>Hiroshima
RJ05520G</t>
  </si>
  <si>
    <t>Hiroshima              
N202670G</t>
  </si>
  <si>
    <t>Hiroshima
N206400G</t>
  </si>
  <si>
    <t>Hiroshima
RJ02040G</t>
  </si>
  <si>
    <t>Hiroshima
RJ03D10G</t>
  </si>
  <si>
    <t>Ralph Edmund Gacute</t>
  </si>
  <si>
    <r>
      <rPr>
        <b/>
        <sz val="8"/>
        <color rgb="FF000000"/>
        <rFont val="Meiryo UI"/>
        <family val="3"/>
        <charset val="128"/>
      </rPr>
      <t xml:space="preserve">Productivity: </t>
    </r>
    <r>
      <rPr>
        <sz val="8"/>
        <color rgb="FF000000"/>
        <rFont val="Meiryo UI"/>
        <family val="3"/>
        <charset val="128"/>
      </rPr>
      <t xml:space="preserve">49.9% in 3 completed tasks. Below target.
</t>
    </r>
    <r>
      <rPr>
        <b/>
        <sz val="8"/>
        <color rgb="FF000000"/>
        <rFont val="Meiryo UI"/>
        <family val="3"/>
        <charset val="128"/>
      </rPr>
      <t xml:space="preserve">Quality: </t>
    </r>
    <r>
      <rPr>
        <sz val="8"/>
        <color rgb="FF000000"/>
        <rFont val="Meiryo UI"/>
        <family val="3"/>
        <charset val="128"/>
      </rPr>
      <t xml:space="preserve">6 app errors in 1.7 KS (3 tasks)
Above target
</t>
    </r>
    <r>
      <rPr>
        <b/>
        <sz val="8"/>
        <color rgb="FF000000"/>
        <rFont val="Meiryo UI"/>
        <family val="3"/>
        <charset val="128"/>
      </rPr>
      <t>On-time completion rate:</t>
    </r>
    <r>
      <rPr>
        <sz val="8"/>
        <color rgb="FF000000"/>
        <rFont val="Meiryo UI"/>
        <family val="3"/>
        <charset val="128"/>
      </rPr>
      <t xml:space="preserve"> 75%
Below target.</t>
    </r>
  </si>
  <si>
    <t>Member took longer time to complete task due to high complexity and required analysis and consultation. Also encountered blockers and advanced to next tasks that are out-of-scope but went back once blockers were resolved.</t>
  </si>
  <si>
    <t>①Thorough self check
②Analysis of findings/errors/misses through QMS
③Knowledge sharing/best practices by Top Performers
④Additional technical TL to support debugging and inquries
⑤Knowledge base creation &amp; maintenance 
⑥QA analysis + survey of common issues and resolution
⑦Study Session with Japan side (勉強会)
⑧Monitor admin tasks</t>
  </si>
  <si>
    <t>Hiroshima
RJ40K20G</t>
  </si>
  <si>
    <t>Hiroshima
RJ05600G</t>
  </si>
  <si>
    <t>Hiroshima
N202790G</t>
  </si>
  <si>
    <t>Hiroshima
N206500G</t>
  </si>
  <si>
    <t>Romel Magsino</t>
  </si>
  <si>
    <r>
      <t xml:space="preserve">Productivity: </t>
    </r>
    <r>
      <rPr>
        <sz val="8"/>
        <color rgb="FF000000"/>
        <rFont val="Meiryo UI"/>
        <family val="3"/>
        <charset val="128"/>
      </rPr>
      <t xml:space="preserve">66.9% in 7 completed tasks. Meets Target.
</t>
    </r>
    <r>
      <rPr>
        <b/>
        <sz val="8"/>
        <color rgb="FF000000"/>
        <rFont val="Meiryo UI"/>
        <family val="3"/>
        <charset val="128"/>
      </rPr>
      <t xml:space="preserve">Quality:
On-time completion rate: </t>
    </r>
    <r>
      <rPr>
        <sz val="8"/>
        <color rgb="FF000000"/>
        <rFont val="Meiryo UI"/>
        <family val="3"/>
        <charset val="128"/>
      </rPr>
      <t xml:space="preserve">87.5%
</t>
    </r>
    <r>
      <rPr>
        <b/>
        <sz val="8"/>
        <color rgb="FF000000"/>
        <rFont val="Meiryo UI"/>
        <family val="3"/>
        <charset val="128"/>
      </rPr>
      <t>Above target.</t>
    </r>
  </si>
  <si>
    <t>Member took longer time to complete task due to high complexity and required  analysis and consultation. Also encountered blockers and advanced to next tasks but went back once blockers were resolved.</t>
  </si>
  <si>
    <t>QA18件。うちPJQA4件。
V3画面の排他発生時の対処や運用制御ファイルの設定値起因のエラーなど、QA回答により改善が見込めるものも含まれている。おおむね問題ない。</t>
  </si>
  <si>
    <t>Task1:14件、テストケース過多/不足、仕様書雛形の選択ミス,チェックリスト記入不足、テストケース理解不足、納品資産の不足,構成資産一覧記入不足
Task2:6件、テストケース過多/不足、エビデンス改善要,構成資産一覧記入不足
Task3:5件、テストケース過多/不足、テストエビデンス不足、単純ミス
Task4:5件、テストケース過多/不足、テストエビデンス不足、単純ミス
Task5:8件、テストケース過多/不足、テストエビデンス不足,構成資産一覧記入不足,チェックリスト記入不足
Task6:2件、テストケース過多/不足、エビデンス改善要</t>
  </si>
  <si>
    <r>
      <t xml:space="preserve">Low Quality Explanation
</t>
    </r>
    <r>
      <rPr>
        <sz val="8"/>
        <rFont val="Meiryo UI"/>
        <family val="2"/>
      </rPr>
      <t>Most findings were related to lack of understanding of test cases, lack of test evidence, lack of delivered assets, simple mistakes.  
低品質の説明
ほとんどの発見は、テストケースの理解不足、テストの証拠の不足、提供された資産の不足、単純なミスに関連していた。</t>
    </r>
  </si>
  <si>
    <t>Member only have 1 task remaining in Ikan phase but is currently blocked. Member already advanced to his Kaizen tasks while waiting. Currently has 6 minor internal findings for Kaizen Task 1 and 4 minor internal findings for Kaizen Task 2. Quality has improved for Kaizen but still needs to work on his self-check.
メンバには1つのタスクしか残されていませんが、現在ブロックされています。メンバーは、待っている間にすでにカイゼンのタスクを進めていました。現在、改善タスク1について6件の軽微な内部調査結果、改善タスク2について4件の軽微な内部調査結果があります。カイゼンの品質は向上しましたが、まだ自己チェックに取り組む必要があります。</t>
  </si>
  <si>
    <r>
      <rPr>
        <sz val="8"/>
        <color rgb="FF000000"/>
        <rFont val="Meiryo UI"/>
        <family val="3"/>
        <charset val="128"/>
      </rPr>
      <t xml:space="preserve">①Thorough self check
②Analysis of findings/errors/misses through QMS
③Knowledge sharing/best practices by Top Performers
④Knowledge base creation &amp; maintenance 
⑤QA analysis + survey of common issues and resolution
</t>
    </r>
    <r>
      <rPr>
        <sz val="8"/>
        <color rgb="FFFF0000"/>
        <rFont val="Meiryo UI"/>
        <family val="3"/>
        <charset val="128"/>
      </rPr>
      <t xml:space="preserve">6. Rewatch provided KT sessions for improvement of quality and increase of understanding </t>
    </r>
  </si>
  <si>
    <t>Hiroshima
RJJ1060G</t>
  </si>
  <si>
    <t>Hiroshima
RJ06500G</t>
  </si>
  <si>
    <t>Hiroshima
N203050G</t>
  </si>
  <si>
    <t>Hiroshima
N203051G</t>
  </si>
  <si>
    <t>Hiroshima
N207240G</t>
  </si>
  <si>
    <t>Hiroshima
N207280G</t>
  </si>
  <si>
    <t>Hiroshima
N203460G</t>
  </si>
  <si>
    <t>Hiroshima
RJ03S10G</t>
  </si>
  <si>
    <t>Vincent Mapalad</t>
  </si>
  <si>
    <r>
      <rPr>
        <b/>
        <sz val="8"/>
        <color rgb="FF000000"/>
        <rFont val="Meiryo UI"/>
        <family val="3"/>
        <charset val="128"/>
      </rPr>
      <t>Productivity:</t>
    </r>
    <r>
      <rPr>
        <sz val="8"/>
        <color rgb="FF000000"/>
        <rFont val="Meiryo UI"/>
        <family val="3"/>
        <charset val="128"/>
      </rPr>
      <t xml:space="preserve"> 108.3% in 5 completed tasks. Above target</t>
    </r>
    <r>
      <rPr>
        <b/>
        <sz val="8"/>
        <color rgb="FF000000"/>
        <rFont val="Meiryo UI"/>
        <family val="3"/>
        <charset val="128"/>
      </rPr>
      <t xml:space="preserve">.
Quality: </t>
    </r>
    <r>
      <rPr>
        <sz val="8"/>
        <color rgb="FF000000"/>
        <rFont val="Meiryo UI"/>
        <family val="3"/>
        <charset val="128"/>
      </rPr>
      <t xml:space="preserve">18 app errors in 10.8 KS (5 tasks)
Above target
</t>
    </r>
    <r>
      <rPr>
        <b/>
        <sz val="8"/>
        <color rgb="FF000000"/>
        <rFont val="Meiryo UI"/>
        <family val="3"/>
        <charset val="128"/>
      </rPr>
      <t>On-time completion rate:</t>
    </r>
    <r>
      <rPr>
        <sz val="8"/>
        <color rgb="FF000000"/>
        <rFont val="Meiryo UI"/>
        <family val="3"/>
        <charset val="128"/>
      </rPr>
      <t xml:space="preserve"> 100%
Above target</t>
    </r>
  </si>
  <si>
    <t>Member spent time analyzing test cases that were not encountered during OJT phase.</t>
  </si>
  <si>
    <t>QA10件。うちPJQA2件。
内容はデータ不足に伴うものでおおむね問題ない。</t>
    <rPh sb="16" eb="18">
      <t>ナイヨウ</t>
    </rPh>
    <rPh sb="22" eb="24">
      <t>フソク</t>
    </rPh>
    <rPh sb="25" eb="26">
      <t>トモナ</t>
    </rPh>
    <rPh sb="34" eb="36">
      <t>モンダイ</t>
    </rPh>
    <phoneticPr fontId="10"/>
  </si>
  <si>
    <t>Task1:3件、画面編集ミス,テストケース過多/不足
Task2:5件、テストケース過多/不足,テストエビデンス不足,単純ミス
Task3:7件、構成資産一覧記入不足,単純ミス,テストエビデンス不足,テストケース過多/不足
Task4:3件、チェックリスト記入不足,単純ミス
Task5:7件、テストケース過多/不足,テストエビデンス不足,画面編集ミス</t>
  </si>
  <si>
    <t>Hiroshima
RJ83320G</t>
  </si>
  <si>
    <t>Hiroshima
N203R50G</t>
  </si>
  <si>
    <t>Hiroshima
N203R51G</t>
  </si>
  <si>
    <t>Hiroshima
RJ05210G</t>
  </si>
  <si>
    <t>Hiroshima
RJ05211G</t>
  </si>
  <si>
    <t>Absin, John Ershon</t>
    <phoneticPr fontId="10"/>
  </si>
  <si>
    <r>
      <t xml:space="preserve">Productivity: </t>
    </r>
    <r>
      <rPr>
        <sz val="8"/>
        <color rgb="FF000000"/>
        <rFont val="Meiryo UI"/>
        <family val="3"/>
        <charset val="128"/>
      </rPr>
      <t xml:space="preserve">46.5% in 3 completed tasks. Below target.
</t>
    </r>
    <r>
      <rPr>
        <b/>
        <sz val="8"/>
        <color rgb="FF000000"/>
        <rFont val="Meiryo UI"/>
        <family val="3"/>
        <charset val="128"/>
      </rPr>
      <t xml:space="preserve">Quality: </t>
    </r>
    <r>
      <rPr>
        <sz val="8"/>
        <color rgb="FF000000"/>
        <rFont val="Meiryo UI"/>
        <family val="3"/>
        <charset val="128"/>
      </rPr>
      <t xml:space="preserve">4 app errors in 0.2 KS (3 tasks)
Below target
</t>
    </r>
    <r>
      <rPr>
        <b/>
        <sz val="8"/>
        <color rgb="FF000000"/>
        <rFont val="Meiryo UI"/>
        <family val="3"/>
        <charset val="128"/>
      </rPr>
      <t xml:space="preserve">On-time completion rate: </t>
    </r>
    <r>
      <rPr>
        <sz val="8"/>
        <color rgb="FF000000"/>
        <rFont val="Meiryo UI"/>
        <family val="3"/>
        <charset val="128"/>
      </rPr>
      <t>50%
Below target.</t>
    </r>
  </si>
  <si>
    <t>Delayed tasks due to high load of peer review and consultation with members. Currently, remaining tasks have high complexity requiring further analysis and consultation with other Srs.</t>
  </si>
  <si>
    <t>QA5件。うちPJQA3件。
自身で調査したうえでQAをあげることができており、問題ない。</t>
  </si>
  <si>
    <t>Task1:4件、テストケース過多/不足、構成資産一覧記入不足
Task2:3件、チェックリスト記入不足、単純ミス</t>
  </si>
  <si>
    <r>
      <t xml:space="preserve">Low Productivity and Quality Explanation
</t>
    </r>
    <r>
      <rPr>
        <sz val="8"/>
        <rFont val="Meiryo UI"/>
        <family val="2"/>
      </rPr>
      <t xml:space="preserve">Member spends time </t>
    </r>
    <r>
      <rPr>
        <sz val="8"/>
        <color rgb="FFFF0000"/>
        <rFont val="Meiryo UI"/>
        <family val="3"/>
        <charset val="128"/>
      </rPr>
      <t xml:space="preserve">analyzing and debugging errors </t>
    </r>
    <r>
      <rPr>
        <sz val="8"/>
        <rFont val="Meiryo UI"/>
        <family val="2"/>
      </rPr>
      <t>before filing QA. Findings are related to too many/not enough test cases and lack of assets, simple mistakes. Member was still familiarizing for his Task 1 and 2 resulting to findings. 
低生産性と品質の説明
メンバーは、QAを提出する前にエラーの分析とデバッグに時間を費やします。検出結果は、テストケースが多すぎる/十分でないこと、資産が不足していること、単純なミスに関連しています。メンバーはまだ彼のTask 1と2に習熟しており、その結果、発見に至った。</t>
    </r>
  </si>
  <si>
    <r>
      <rPr>
        <sz val="8"/>
        <color rgb="FF000000"/>
        <rFont val="Meiryo UI"/>
        <family val="3"/>
        <charset val="128"/>
      </rPr>
      <t>High perfoming TL who regularly conducts consultation with members and peer review prior to working on his own tasks. Quality has improved for Task 3 (1 finding) compared to Task 1 and 2 (2 findings) Currently Ikan Task 4 is still for review and he has started Kaizen tasks. TL gains more knowledge on different tasks through reviewing and apply to his own task to lessen findings. TL to schedule COBOL KT session to lessen COBOL related consultations and focus on his own tasks. 
自分のタスクに取り組む前に、定期的にメンバーと相談し、</t>
    </r>
    <r>
      <rPr>
        <sz val="8"/>
        <color rgb="FFFF0000"/>
        <rFont val="Meiryo UI"/>
        <family val="3"/>
        <charset val="128"/>
      </rPr>
      <t>ピアレビューを行うパフォーマンスの高いTL</t>
    </r>
    <r>
      <rPr>
        <sz val="8"/>
        <color rgb="FF000000"/>
        <rFont val="Meiryo UI"/>
        <family val="3"/>
        <charset val="128"/>
      </rPr>
      <t>。</t>
    </r>
    <r>
      <rPr>
        <sz val="8"/>
        <color rgb="FFFF0000"/>
        <rFont val="Meiryo UI"/>
        <family val="3"/>
        <charset val="128"/>
      </rPr>
      <t>タスク1と2 (2つの結果) に比べて、タスク3 (1つの結果) の品質が向上しました</t>
    </r>
    <r>
      <rPr>
        <sz val="8"/>
        <color rgb="FF000000"/>
        <rFont val="Meiryo UI"/>
        <family val="3"/>
        <charset val="128"/>
      </rPr>
      <t>。現在、タスク4はまだレビュー中であり、改善タスクを開始しています。TLは、レビューを通じて異なるタスクについてより多くの知識を得、発見を減らすために自分のタスクに適用する。TLは、COBOL関連の相談を減らし、自分のタスクに集中するために、COBOL KTセッションをスケジュールします。</t>
    </r>
  </si>
  <si>
    <r>
      <rPr>
        <sz val="8"/>
        <color rgb="FF000000"/>
        <rFont val="Meiryo UI"/>
        <family val="3"/>
        <charset val="128"/>
      </rPr>
      <t xml:space="preserve">①Thorough self check
②Analysis of findings/errors/misses through QMS
③Knowledge sharing/best practices by Top Performers
④Additional technical TL to support debugging and inquries
⑤Knowledge base creation &amp; maintenance 
⑥QA analysis + survey of common issues and resolution
</t>
    </r>
    <r>
      <rPr>
        <sz val="8"/>
        <color rgb="FFFF0000"/>
        <rFont val="Meiryo UI"/>
        <family val="3"/>
        <charset val="128"/>
      </rPr>
      <t xml:space="preserve">⑦Study Session with Japan side (勉強会)
</t>
    </r>
    <r>
      <rPr>
        <sz val="8"/>
        <color rgb="FF000000"/>
        <rFont val="Meiryo UI"/>
        <family val="3"/>
        <charset val="128"/>
      </rPr>
      <t xml:space="preserve">⑧Monitor admin tasks
</t>
    </r>
    <r>
      <rPr>
        <sz val="8"/>
        <color rgb="FFFF0000"/>
        <rFont val="Meiryo UI"/>
        <family val="3"/>
        <charset val="128"/>
      </rPr>
      <t>9. Conduct KT session on COBOL for members to lessen consultation and focus on his own tasks
10. Conduct Subleader Review Training from QMS</t>
    </r>
  </si>
  <si>
    <t>Hiroshima
RJ04110G</t>
  </si>
  <si>
    <t>Hiroshima
RJ07Z30G</t>
  </si>
  <si>
    <t>Hiroshima
N203D40G</t>
  </si>
  <si>
    <t>Hiroshima
N203D41G</t>
  </si>
  <si>
    <t>Fabella, Emma</t>
  </si>
  <si>
    <r>
      <rPr>
        <b/>
        <sz val="8"/>
        <color rgb="FF000000"/>
        <rFont val="Meiryo UI"/>
        <family val="3"/>
        <charset val="128"/>
      </rPr>
      <t xml:space="preserve">Productivity: </t>
    </r>
    <r>
      <rPr>
        <sz val="8"/>
        <color rgb="FF000000"/>
        <rFont val="Meiryo UI"/>
        <family val="3"/>
        <charset val="128"/>
      </rPr>
      <t xml:space="preserve">17.7% in 1 completed task.
Below target.
</t>
    </r>
    <r>
      <rPr>
        <b/>
        <sz val="8"/>
        <color rgb="FF000000"/>
        <rFont val="Meiryo UI"/>
        <family val="3"/>
        <charset val="128"/>
      </rPr>
      <t xml:space="preserve">Quality: </t>
    </r>
    <r>
      <rPr>
        <sz val="8"/>
        <color rgb="FF000000"/>
        <rFont val="Meiryo UI"/>
        <family val="3"/>
        <charset val="128"/>
      </rPr>
      <t xml:space="preserve">
</t>
    </r>
    <r>
      <rPr>
        <b/>
        <sz val="8"/>
        <color rgb="FF000000"/>
        <rFont val="Meiryo UI"/>
        <family val="3"/>
        <charset val="128"/>
      </rPr>
      <t xml:space="preserve">On-time completion rate: </t>
    </r>
    <r>
      <rPr>
        <sz val="8"/>
        <color rgb="FF000000"/>
        <rFont val="Meiryo UI"/>
        <family val="3"/>
        <charset val="128"/>
      </rPr>
      <t>100%, Above target.</t>
    </r>
  </si>
  <si>
    <t>Member spends most of her time in analyzing her task due to high complexity.</t>
  </si>
  <si>
    <t>QA4件。うちPJQAなし。
QA件数自体は少ないが、質問内容が不明瞭なQAが2つあり、質問方法に問題あり。</t>
    <phoneticPr fontId="10"/>
  </si>
  <si>
    <t>Task1:11件、納品資産の不足,エビデンス改善要,テストケース過多/不足,エビデンス不足,画面編集ミス、単純ミス,規約違反</t>
  </si>
  <si>
    <r>
      <t xml:space="preserve">Low Productivity Explanation
</t>
    </r>
    <r>
      <rPr>
        <sz val="8"/>
        <rFont val="Meiryo UI"/>
        <family val="2"/>
      </rPr>
      <t>Member's Ikan Task 1 KU12020 is dependent to Kaizen Task 1 KU12021 which is 11.4 in scale.(8 tabs with more than 600 components, IPChoice with 200 categories, multi-input list- with 200 headers). Member also spends a lot of analyzing and debugging errors before filing QA.
低生産性の説明
メンバーの管理タスク1 KU12020は、</t>
    </r>
    <r>
      <rPr>
        <sz val="8"/>
        <color rgb="FFFF0000"/>
        <rFont val="Meiryo UI"/>
        <family val="3"/>
        <charset val="128"/>
      </rPr>
      <t>規模が11.4人日である改善タスク1 KU12021に依存しています。(600以上のコンポーネントを持つ8つのタブ、200のカテゴリを持つIPChoice、200のヘッダを持つ複数入力リスト)。メンバーはまた、QAを提出する前にエラーの分析とデバッグに多くの時間を費やしています。</t>
    </r>
  </si>
  <si>
    <t>Member has already advanced to her Kaizen tasks and is currently collaborating with co-TL and seniors regarding concerns in their tasks. Assigned Kaizen Tasks is also lesser in scale (N203U20G - 2.9, N203VT0G - 1.3, N203300G - 1.3) compared to RJ12021G (11.4) and improved productivity is expected. Member also conducted an advanced analysis on her tasks to identify possible blockers. Member also completed the QMS Subleader Review Training which she can also apply to her own tasks for quality improvement..
メンバーはすでにカイゼンのタスクに進んでおり、現在、共同TLやシニアと協力して、タスクの懸念事項について話し合っています。割り当てられた改善タスクは、RJ12021G (11.4) と比較して規模が小さく(-2.9、N203VT0G -1.3、N203300G -1.3)、生産性の向上が期待されます。メンバーはまた、可能性のあるブロッカーを特定するために、彼女のタスクについて高度な分析を行った。また、QMSサブリーダーレビュー研修を修了し、品質向上のために自らの業務に活かすことができました。</t>
  </si>
  <si>
    <t>Hiroshima
RJ12020G</t>
  </si>
  <si>
    <t>Mejia, Jeffrey</t>
  </si>
  <si>
    <r>
      <t xml:space="preserve">Productivity: </t>
    </r>
    <r>
      <rPr>
        <sz val="8"/>
        <color rgb="FF000000"/>
        <rFont val="Meiryo UI"/>
        <family val="3"/>
        <charset val="128"/>
      </rPr>
      <t xml:space="preserve">67% in 5 completed tasks. Meets target.
</t>
    </r>
    <r>
      <rPr>
        <b/>
        <sz val="8"/>
        <color rgb="FF000000"/>
        <rFont val="Meiryo UI"/>
        <family val="3"/>
        <charset val="128"/>
      </rPr>
      <t xml:space="preserve">Quality: </t>
    </r>
    <r>
      <rPr>
        <sz val="8"/>
        <color rgb="FF000000"/>
        <rFont val="Meiryo UI"/>
        <family val="3"/>
        <charset val="128"/>
      </rPr>
      <t xml:space="preserve">5 app errors in 0.7 KS (5 tasks)
Below target.
</t>
    </r>
    <r>
      <rPr>
        <b/>
        <sz val="8"/>
        <color rgb="FF000000"/>
        <rFont val="Meiryo UI"/>
        <family val="3"/>
        <charset val="128"/>
      </rPr>
      <t xml:space="preserve">On-time completion rate: </t>
    </r>
    <r>
      <rPr>
        <sz val="8"/>
        <color rgb="FF000000"/>
        <rFont val="Meiryo UI"/>
        <family val="3"/>
        <charset val="128"/>
      </rPr>
      <t>100.0%
Above target</t>
    </r>
  </si>
  <si>
    <t>Member encountered blockers for most of his tasks and advanced to next tasks. When blocker was resolved, he went back to his original tasks that is now delayed. Also, review turn around time took 7 days for Task 1. Member is consistent in following up with FXS because he wants to complete the tasks.</t>
  </si>
  <si>
    <t>QA11件。うちPJQA2件。
データや画面実行のためのパラメータに関する質問が多い。</t>
    <rPh sb="20" eb="24">
      <t>ガメンジッコウ</t>
    </rPh>
    <rPh sb="34" eb="35">
      <t>カン</t>
    </rPh>
    <rPh sb="37" eb="39">
      <t>シツモン</t>
    </rPh>
    <rPh sb="40" eb="41">
      <t>オオ</t>
    </rPh>
    <phoneticPr fontId="10"/>
  </si>
  <si>
    <t>Task1:5件、構成資産一覧記入不足,仕様書雛形の選択ミス,テストケース過多/不足,テストエビデンス不足
Task2:5件、納品資産の不足,エビデンス不足,画面編集ミス,単純ミス,テストケース理解不足
Task3:4件、単純ミス,画面編集ミス,テストケース過多/不足</t>
  </si>
  <si>
    <r>
      <t xml:space="preserve">Low Quality Explanation:
</t>
    </r>
    <r>
      <rPr>
        <sz val="8"/>
        <rFont val="Meiryo UI"/>
        <family val="2"/>
      </rPr>
      <t>Findings were mostly related to not enough understanding of test cases and not enough delivered assets, simple mistakes.
低品質の説明:
調査結果の大部分は、テストケースの十分な理解と十分な配信資産の不足、単純なミスに関連していた。</t>
    </r>
  </si>
  <si>
    <t xml:space="preserve">Member was able to catchup despite having blockers for most of his tasks. 
Member to list down all his previous findings to avoid repeating them, double checking of assets deliverables, familiarization to test cases and screens to improve understanding. 
メンバーは、ほとんどのタスクにブロッカーがあったにもかかわらず、追いつくことができました。
メンバーは、繰り返しを避けるためにこれまでの調査結果をすべてリストアップし、資産の成果物をダブルチェックし、理解を深めるためにテストケースと画面に精通する。
 </t>
  </si>
  <si>
    <t>Hiroshima
RJ05100G</t>
  </si>
  <si>
    <t>Hiroshima
RJ12030G</t>
  </si>
  <si>
    <t>Hiroshima
N203I20G</t>
  </si>
  <si>
    <t>Hiroshima
RJ03400G</t>
  </si>
  <si>
    <t>Hiroshima
RJ033A0G</t>
  </si>
  <si>
    <t>Maureen Napiere</t>
  </si>
  <si>
    <t>Kenneth Aranda</t>
  </si>
  <si>
    <t>N203P80G</t>
  </si>
  <si>
    <t>Hiroshima N205140G</t>
  </si>
  <si>
    <t>Team C</t>
    <phoneticPr fontId="3"/>
  </si>
  <si>
    <t>Dan Atraje</t>
    <phoneticPr fontId="16"/>
  </si>
  <si>
    <t>JUSTIFICATION why OK to proceed to next Phase</t>
    <phoneticPr fontId="10"/>
  </si>
  <si>
    <t>Average Prod</t>
  </si>
  <si>
    <t>Average Quality</t>
  </si>
  <si>
    <t>Average Error per KS</t>
  </si>
  <si>
    <t>Anna Marie Catalma</t>
    <phoneticPr fontId="10"/>
  </si>
  <si>
    <r>
      <rPr>
        <b/>
        <sz val="8"/>
        <rFont val="Meiryo UI"/>
        <family val="3"/>
        <charset val="128"/>
      </rPr>
      <t>Productivity &amp; Quality:</t>
    </r>
    <r>
      <rPr>
        <sz val="8"/>
        <rFont val="Meiryo UI"/>
        <family val="3"/>
        <charset val="128"/>
      </rPr>
      <t xml:space="preserve"> Tasks not completed yet hence no score. 
</t>
    </r>
    <r>
      <rPr>
        <b/>
        <sz val="8"/>
        <rFont val="Meiryo UI"/>
        <family val="3"/>
        <charset val="128"/>
      </rPr>
      <t>On-time completion rate:</t>
    </r>
    <r>
      <rPr>
        <sz val="8"/>
        <rFont val="Meiryo UI"/>
        <family val="3"/>
        <charset val="128"/>
      </rPr>
      <t xml:space="preserve"> 0%
</t>
    </r>
    <r>
      <rPr>
        <b/>
        <sz val="8"/>
        <rFont val="Meiryo UI"/>
        <family val="3"/>
        <charset val="128"/>
      </rPr>
      <t>Team Contribution:</t>
    </r>
    <r>
      <rPr>
        <sz val="8"/>
        <rFont val="Meiryo UI"/>
        <family val="3"/>
        <charset val="128"/>
      </rPr>
      <t xml:space="preserve"> 
- Provide support in overall team management
- Conducts Internal reviewer of Mid and Sr members tasks</t>
    </r>
  </si>
  <si>
    <t>The delays are due to 
- Conducting internal review on top of own deliverables
- Issues &amp; Blockers
- Pending PG review which affects the start of PTE.</t>
  </si>
  <si>
    <t>QA6件。うちPJQA1件。
自己解決が難しいQAが大半を占めており、問題ない。</t>
    <phoneticPr fontId="10"/>
  </si>
  <si>
    <r>
      <rPr>
        <b/>
        <sz val="8"/>
        <rFont val="Meiryo UI"/>
        <family val="3"/>
        <charset val="128"/>
      </rPr>
      <t>LOW PRODUCTIVITY AND QUALITY EXPLANATION</t>
    </r>
    <r>
      <rPr>
        <sz val="8"/>
        <rFont val="Meiryo UI"/>
        <family val="3"/>
        <charset val="128"/>
      </rPr>
      <t xml:space="preserve">
- Sill mismatch, member's tasks are non technical prior to this project assignment. Leading and supporting JR members was hard for her due to lack of technical skills.
- This member encountered a lot of issues, from Task 1 to 6 of transition task. Less QA was raised due to attempt of resolving issues internally. Which resulted in low productivity due to the significant amount of time spent in analysis and troubleshooting.
- Common mistake that was pointed out during review findings is the incorrect selection of test case in PTE.
</t>
    </r>
    <r>
      <rPr>
        <sz val="8"/>
        <color rgb="FF0070C0"/>
        <rFont val="Meiryo UI"/>
        <family val="3"/>
        <charset val="128"/>
      </rPr>
      <t>低い生産性と質の説明
- このプロジェクトにアサインされる前、メンバーのタスクは技術的なものではなかった。技術的なスキルがないため、JRのメンバーをリードし、サポートすることは困難であった。
- このメンバーは、移行タスクのタスク1からタスク6まで、多くの問題に遭遇した。社内で問題を解決しようとしたため、QAがあまり上がらなかった。その結果、分析とトラブルシューティングに多大な時間を費やし、生産性が低下した。
- レビューで指摘された一般的なミスは、PTEにおけるテストケースの誤った選択である。</t>
    </r>
  </si>
  <si>
    <r>
      <t xml:space="preserve">Despite lacking on skills technically, this member works very hard which is evident on the amount of OT this member has taken just to catch up.
-This member is still adjusting to the tasks but she provides good team management skills and shows significant improvement.
</t>
    </r>
    <r>
      <rPr>
        <sz val="8"/>
        <color rgb="FF0070C0"/>
        <rFont val="Meiryo UI"/>
        <family val="3"/>
        <charset val="128"/>
      </rPr>
      <t>技術的に不足しているにもかかわらず、このメンバーは非常に懸命に働いている。
-このメンバーはまだ業務に慣れていないが、優れたチーム・マネジメント・スキルを提供し、著しい改善を示している。</t>
    </r>
  </si>
  <si>
    <t xml:space="preserve">①セルフチェック、リーダレビュー(Thorough self check/Leader Review)
②自己分析、品質改善計画の実行(Analysis of findings/errors/misses through QMS)
③品質改善計画の分析とメンバーへの共有(Knowledge sharing/best practices by Top Performers)
④ノウハウ検索DB(Knowledge base creation &amp; maintenance) 
⑤QA分析と対策(QA analysis + survey of common issues and resolution)
⑥テクニカルTLによる調査・デバッグ等のサポート(Additional technical TL to support debugging and inquiries)
⑦作業時間のモニタリング・管理(Monitor Admin Tasks (updating of trackers, etc))
⑧日本との勉強会(Study Session with Japan side) ※新垣さんが実施している勉強会をイメージ
9. </t>
  </si>
  <si>
    <t>Bonjour Bonifacio</t>
    <phoneticPr fontId="10"/>
  </si>
  <si>
    <r>
      <rPr>
        <b/>
        <sz val="8"/>
        <rFont val="Meiryo UI"/>
        <family val="3"/>
        <charset val="128"/>
      </rPr>
      <t xml:space="preserve">Productivity: </t>
    </r>
    <r>
      <rPr>
        <sz val="8"/>
        <rFont val="Meiryo UI"/>
        <family val="3"/>
        <charset val="128"/>
      </rPr>
      <t xml:space="preserve">Average of 61.5% in 3 completed tasks. 
</t>
    </r>
    <r>
      <rPr>
        <b/>
        <sz val="8"/>
        <rFont val="Meiryo UI"/>
        <family val="3"/>
        <charset val="128"/>
      </rPr>
      <t xml:space="preserve">Quality: </t>
    </r>
    <r>
      <rPr>
        <sz val="8"/>
        <rFont val="Meiryo UI"/>
        <family val="3"/>
        <charset val="128"/>
      </rPr>
      <t xml:space="preserve">1 app error in 0.2KS (2 completed tasks)
</t>
    </r>
    <r>
      <rPr>
        <b/>
        <sz val="8"/>
        <rFont val="Meiryo UI"/>
        <family val="3"/>
        <charset val="128"/>
      </rPr>
      <t>Team Contribution:</t>
    </r>
    <r>
      <rPr>
        <sz val="8"/>
        <rFont val="Meiryo UI"/>
        <family val="3"/>
        <charset val="128"/>
      </rPr>
      <t xml:space="preserve"> 
- One of the Jr. member who does internal review for the team. 
</t>
    </r>
  </si>
  <si>
    <t>Delay reasons are due to the following.
- Issues &amp; Blockers
- Pending PG review which affects the start of PTE.</t>
  </si>
  <si>
    <t>QA9件。うちPJQAなし。
ツール後資産が見つけられなかったり、回答内容を自身のソースに反映できないなど低レベルな内容が散見される。</t>
    <phoneticPr fontId="10"/>
  </si>
  <si>
    <t>Task1:2件、構成資産一覧記入不足,単純ミス
Task2:6件、構成資産一覧記入不足,テストケース過多/不足,テストエビデンス不足
Task3:8件、テストケース過多/不足,テストエビデンス不足,画面編集ミス,構成資産一覧記入不足
Task4:7件、テストケース過多/不足,テストエビデンス不足,画面編集ミス
Task5:3件、チェックリスト記入不足,テストエビデンス不足
Task6:2件、テストケース過多/不足</t>
  </si>
  <si>
    <r>
      <rPr>
        <b/>
        <sz val="8"/>
        <rFont val="Meiryo UI"/>
        <family val="3"/>
        <charset val="128"/>
      </rPr>
      <t>LOW PRODUCTIVITY EXPLANATION</t>
    </r>
    <r>
      <rPr>
        <sz val="8"/>
        <rFont val="Meiryo UI"/>
        <family val="3"/>
        <charset val="128"/>
      </rPr>
      <t xml:space="preserve">
- This member had some blockers and issues on his tasks. And each time he encounter blockers he spend some time in analysis prior raising a QA. Even after raising a QA, this member continue to troubleshoot and the time spent on troubleshooting was added to the MH spent on PG to PTS.
「低生産性の説明
-このメンバーは、彼のタスクにいくつかのブロッカーと問題がありました。そして、ブロッカーに遭遇するたびに、QAを上げる前に分析に時間を費やす。QAを発行した後も、このメンバーはトラブルシューティングを続行し、トラブルシューティングに費やされた時間がPGからPTSへのMHに追加されました。
</t>
    </r>
    <phoneticPr fontId="10"/>
  </si>
  <si>
    <t>- This member is one of the few selected Jr. members to conduct internal review for the team.
- Requires minimal to supervision on his tasks
'-このメンバーは、チームの内部レビューを行うために選ばれた数少ないJr.メンバーの1人です。
-彼のタスクには最小限の監督が必要です。</t>
    <phoneticPr fontId="10"/>
  </si>
  <si>
    <t>①Thorough self check
②Analysis of findings/errors/misses
③Knowledge sharing/best practices by Top Performers
④Additional technical TL to support debugging and inquries
⑤Knowledge base creation &amp; maintenance 
⑥QA analysis + survey of common issues and resolution
⑦Study Session with Japan side (勉強会)</t>
  </si>
  <si>
    <t>Brendon Glenn Palileo</t>
  </si>
  <si>
    <r>
      <rPr>
        <b/>
        <sz val="8"/>
        <rFont val="Meiryo UI"/>
        <family val="3"/>
        <charset val="128"/>
      </rPr>
      <t xml:space="preserve">Productivity: </t>
    </r>
    <r>
      <rPr>
        <sz val="8"/>
        <rFont val="Meiryo UI"/>
        <family val="3"/>
        <charset val="128"/>
      </rPr>
      <t xml:space="preserve">Average of 31.5% in 1 completed tasks. 
</t>
    </r>
    <r>
      <rPr>
        <b/>
        <sz val="8"/>
        <rFont val="Meiryo UI"/>
        <family val="3"/>
        <charset val="128"/>
      </rPr>
      <t xml:space="preserve">Quality: </t>
    </r>
    <r>
      <rPr>
        <sz val="8"/>
        <rFont val="Meiryo UI"/>
        <family val="3"/>
        <charset val="128"/>
      </rPr>
      <t xml:space="preserve">2 app error in 0.1KS (1 completed tasks). 
</t>
    </r>
    <r>
      <rPr>
        <b/>
        <sz val="8"/>
        <rFont val="Meiryo UI"/>
        <family val="3"/>
        <charset val="128"/>
      </rPr>
      <t>On-time completion rate</t>
    </r>
    <r>
      <rPr>
        <sz val="8"/>
        <rFont val="Meiryo UI"/>
        <family val="3"/>
        <charset val="128"/>
      </rPr>
      <t xml:space="preserve"> is only 12.5%. 
</t>
    </r>
    <r>
      <rPr>
        <b/>
        <sz val="8"/>
        <rFont val="Meiryo UI"/>
        <family val="3"/>
        <charset val="128"/>
      </rPr>
      <t>Team Contribution:</t>
    </r>
    <r>
      <rPr>
        <sz val="8"/>
        <rFont val="Meiryo UI"/>
        <family val="3"/>
        <charset val="128"/>
      </rPr>
      <t xml:space="preserve"> Low team contribution</t>
    </r>
  </si>
  <si>
    <t>Delay reasons are due to the following.
- Pending PG review which affects the start of PTE.</t>
  </si>
  <si>
    <t>QA12件。うちPJQA3件。
主に、データに関するQAが中心で問題ない。</t>
    <phoneticPr fontId="10"/>
  </si>
  <si>
    <t>Task1:6件、納品資産の不足,画面編集ミス,テストケース過多/不足
Task2:2件、チェックリスト記入不足,構成資産一覧記入不足
Task3:9件、構成資産一覧記入不足、仕様書雛形の選択ミス,画面編集ミス,テストケース過多/不足</t>
  </si>
  <si>
    <r>
      <rPr>
        <b/>
        <sz val="8"/>
        <rFont val="Meiryo UI"/>
        <family val="3"/>
        <charset val="128"/>
      </rPr>
      <t>LOW QUALITY EXPLANATION</t>
    </r>
    <r>
      <rPr>
        <sz val="8"/>
        <rFont val="Meiryo UI"/>
        <family val="3"/>
        <charset val="128"/>
      </rPr>
      <t xml:space="preserve">
- Member is highly dependent on his SR, despite knowing the basic know how this member consult more. Without support from leads, this member tends to have lower progress rate and susceptible to mistakes.
</t>
    </r>
    <r>
      <rPr>
        <sz val="8"/>
        <color rgb="FF0070C0"/>
        <rFont val="Meiryo UI"/>
        <family val="3"/>
        <charset val="128"/>
      </rPr>
      <t>「低品質の説明」
- メンバーは、基本的なノウハウを知っているにもかかわらず、自分の SR に大きく依存しています。このメンバーはさらに相談します。リードからのサポートがないと、このメンバーは進捗率が低くなり、ミスが発生しやすくなる傾向があります。</t>
    </r>
  </si>
  <si>
    <t>- The member is hard working and only need to work on his self reliance.
Kaizen Task Status: 55% Overall Completion Rate
-There are only two Kaizen tasks. Task 1 has been submitted to JGG and cosidered as delayed already. While task 2 PG is already in progress and still on time.
メンバーは勤勉であり、自立するために取り組む必要があるだけです。
カイゼン・タスクの状況 全体の完了率55
-カイゼンタスクは2つしかない。タスク 1 は JGG に提出され、すでに遅延とみなされた。タスク2のPGはすでに進行中であり、まだ予定通りである。</t>
  </si>
  <si>
    <r>
      <t xml:space="preserve">①セルフチェック、リーダレビュー(Thorough self check/Leader Review)
②自己分析、品質改善計画の実行(Analysis of findings/errors/misses through QMS)
③品質改善計画の分析とメンバーへの共有(Knowledge sharing/best practices by Top Performers)
④ノウハウ検索DB(Knowledge base creation &amp; maintenance) 
⑤QA分析と対策(QA analysis + survey of common issues and resolution)
</t>
    </r>
    <r>
      <rPr>
        <sz val="8"/>
        <color rgb="FF0070C0"/>
        <rFont val="Meiryo UI"/>
        <family val="3"/>
        <charset val="128"/>
      </rPr>
      <t>9. Request the member to create documentation of his questions. And slowly reduce the SR support. メンバーに対し、自分の質問の文書を作成するよう要求する。そして、SRのサポートを徐々に減らす。</t>
    </r>
  </si>
  <si>
    <t>Chrestian Tuazon</t>
    <phoneticPr fontId="10"/>
  </si>
  <si>
    <r>
      <rPr>
        <b/>
        <sz val="8"/>
        <rFont val="Meiryo UI"/>
        <family val="3"/>
        <charset val="128"/>
      </rPr>
      <t>Productivity:</t>
    </r>
    <r>
      <rPr>
        <sz val="8"/>
        <rFont val="Meiryo UI"/>
        <family val="3"/>
        <charset val="128"/>
      </rPr>
      <t xml:space="preserve"> Average of 51.2% in 3completed tasks. Not meeting target. 
</t>
    </r>
    <r>
      <rPr>
        <b/>
        <sz val="8"/>
        <rFont val="Meiryo UI"/>
        <family val="3"/>
        <charset val="128"/>
      </rPr>
      <t xml:space="preserve">Quality: </t>
    </r>
    <r>
      <rPr>
        <sz val="8"/>
        <rFont val="Meiryo UI"/>
        <family val="3"/>
        <charset val="128"/>
      </rPr>
      <t xml:space="preserve">Indicate app error in 6KStep (3 completed tasks) to determine the quality score.
</t>
    </r>
    <r>
      <rPr>
        <b/>
        <sz val="8"/>
        <rFont val="Meiryo UI"/>
        <family val="3"/>
        <charset val="128"/>
      </rPr>
      <t xml:space="preserve">On-time completion rate </t>
    </r>
    <r>
      <rPr>
        <sz val="8"/>
        <rFont val="Meiryo UI"/>
        <family val="3"/>
        <charset val="128"/>
      </rPr>
      <t xml:space="preserve">is only 50%.
</t>
    </r>
    <r>
      <rPr>
        <b/>
        <sz val="8"/>
        <rFont val="Meiryo UI"/>
        <family val="3"/>
        <charset val="128"/>
      </rPr>
      <t>Team Contribution:</t>
    </r>
    <r>
      <rPr>
        <sz val="8"/>
        <rFont val="Meiryo UI"/>
        <family val="3"/>
        <charset val="128"/>
      </rPr>
      <t xml:space="preserve"> Low team contribution</t>
    </r>
  </si>
  <si>
    <t>QA6件。うちPJQAなし。
自己解決が見込めるQAが割合的に多く、実際に自己解決しているQAもあるので
今後QAに上げるべき課題を30分の自己調査時間で見極めて効率的に作業が進められるようになってほしい。</t>
    <rPh sb="15" eb="19">
      <t>ジコカイケツ</t>
    </rPh>
    <rPh sb="20" eb="22">
      <t>ミコ</t>
    </rPh>
    <rPh sb="27" eb="30">
      <t>ワリアイテキ</t>
    </rPh>
    <rPh sb="31" eb="32">
      <t>オオ</t>
    </rPh>
    <rPh sb="34" eb="36">
      <t>ジッサイ</t>
    </rPh>
    <rPh sb="37" eb="41">
      <t>ジコカイケツ</t>
    </rPh>
    <rPh sb="53" eb="55">
      <t>コンゴ</t>
    </rPh>
    <rPh sb="58" eb="59">
      <t>ア</t>
    </rPh>
    <rPh sb="63" eb="65">
      <t>カダイ</t>
    </rPh>
    <rPh sb="68" eb="69">
      <t>フン</t>
    </rPh>
    <rPh sb="70" eb="72">
      <t>ジコ</t>
    </rPh>
    <rPh sb="72" eb="76">
      <t>チョウサジカン</t>
    </rPh>
    <rPh sb="77" eb="79">
      <t>ミキワ</t>
    </rPh>
    <rPh sb="81" eb="84">
      <t>コウリツテキ</t>
    </rPh>
    <rPh sb="85" eb="87">
      <t>サギョウ</t>
    </rPh>
    <rPh sb="88" eb="89">
      <t>スス</t>
    </rPh>
    <phoneticPr fontId="10"/>
  </si>
  <si>
    <t>Task1:8件、画面編集ミス、テストケース過多/不足、納品資産の不足、テストエビデンス不足
Task2:11件、画面編集ミス、テストケース過多/不足、納品資産の不足、テストエビデンス不足,単純ミス
Task3:5件、テストケース過多/不足、納品資産の不足,単純ミス
Task4:2件、テストケース過多/不足</t>
  </si>
  <si>
    <r>
      <rPr>
        <b/>
        <sz val="8"/>
        <rFont val="Meiryo UI"/>
        <family val="3"/>
        <charset val="128"/>
      </rPr>
      <t>LOW PRODUCTIVITY EXPLANATION</t>
    </r>
    <r>
      <rPr>
        <sz val="8"/>
        <rFont val="Meiryo UI"/>
        <family val="3"/>
        <charset val="128"/>
      </rPr>
      <t xml:space="preserve">
- Task 1, 2, 3 and 4 are parent and child screen or transitioning screen. This type of task was not covered during OJT phase and the member spent a lot of time in analysis and study from task 1, 2 and 3.
低生産性の説明
-タスク1、2、3、および4は、親と子の画面または遷移画面です。このタイプのタスクはOJTフェーズではカバーされておらず、メンバーはタスク1、2、3の分析と検討に多くの時間を費やした。
</t>
    </r>
    <phoneticPr fontId="10"/>
  </si>
  <si>
    <t>- This member works independently most of the time, even though his productivity and quality are average, we could see potential from this member to grow further.
このメンバーは、ほとんどの時間を独立して作業しており、彼の生産性と品質は平均的ですが、私たちはこのメンバーのさらなる成長の可能性を見ることができました。</t>
  </si>
  <si>
    <t>Measure: 
1)Endorse to another evaluation after completing all pendings tasks to see if there is improvement in the overall results.</t>
  </si>
  <si>
    <t>Christian Buban</t>
  </si>
  <si>
    <r>
      <rPr>
        <b/>
        <sz val="8"/>
        <rFont val="Meiryo UI"/>
        <family val="3"/>
        <charset val="128"/>
      </rPr>
      <t xml:space="preserve">Productivity: </t>
    </r>
    <r>
      <rPr>
        <sz val="8"/>
        <rFont val="Meiryo UI"/>
        <family val="3"/>
        <charset val="128"/>
      </rPr>
      <t xml:space="preserve">Average of 43.4% in 4 completed tasks.
</t>
    </r>
    <r>
      <rPr>
        <b/>
        <sz val="8"/>
        <rFont val="Meiryo UI"/>
        <family val="3"/>
        <charset val="128"/>
      </rPr>
      <t>Quality:</t>
    </r>
    <r>
      <rPr>
        <sz val="8"/>
        <rFont val="Meiryo UI"/>
        <family val="3"/>
        <charset val="128"/>
      </rPr>
      <t xml:space="preserve"> Fill out # of findings in 3.7KStep (3 tasks) to show actuals
</t>
    </r>
    <r>
      <rPr>
        <b/>
        <sz val="8"/>
        <rFont val="Meiryo UI"/>
        <family val="3"/>
        <charset val="128"/>
      </rPr>
      <t>On-time completion rate</t>
    </r>
    <r>
      <rPr>
        <sz val="8"/>
        <rFont val="Meiryo UI"/>
        <family val="3"/>
        <charset val="128"/>
      </rPr>
      <t xml:space="preserve"> is only 57.1%. 
</t>
    </r>
    <r>
      <rPr>
        <b/>
        <sz val="8"/>
        <rFont val="Meiryo UI"/>
        <family val="3"/>
        <charset val="128"/>
      </rPr>
      <t xml:space="preserve">
Team Contribution:</t>
    </r>
    <r>
      <rPr>
        <sz val="8"/>
        <rFont val="Meiryo UI"/>
        <family val="3"/>
        <charset val="128"/>
      </rPr>
      <t xml:space="preserve"> Supported Ralph Duane Geronimo and performed his task 3 during his long vacation. This member, helped his lead to manage other Jr member.</t>
    </r>
  </si>
  <si>
    <t>QA6件。うちPJQA1件。
その他のものはデータ回りが多く、問題のあるQAは少ない。</t>
    <rPh sb="12" eb="13">
      <t>ケン</t>
    </rPh>
    <rPh sb="17" eb="18">
      <t>ホカ</t>
    </rPh>
    <rPh sb="25" eb="26">
      <t>マワ</t>
    </rPh>
    <rPh sb="28" eb="29">
      <t>オオ</t>
    </rPh>
    <rPh sb="31" eb="33">
      <t>モンダイ</t>
    </rPh>
    <rPh sb="39" eb="40">
      <t>スク</t>
    </rPh>
    <phoneticPr fontId="10"/>
  </si>
  <si>
    <t>Task1:10件、画面編集ミス、テストケース過多/不足、納品資産の不足、テストエビデンス不足,構成資産一覧記入不足
Task2:6件、画面編集ミス、テストケース過多/不足、テストエビデンス不足,単純ミス
Task3:4件、構成資産一覧記入不足,単純ミス、納品資産の不足
Task4:13件、画面編集ミス、テストケース過多/不足、テストエビデンス不足、納品資産の不足
Task5:6件、画面編集ミス、テストケース過多/不足、テストエビデンス不足、納品資産の不足,単純ミス
Task7:8件、テストケース過多/不足、テストエビデンス不足,単純ミス</t>
  </si>
  <si>
    <r>
      <rPr>
        <b/>
        <sz val="8"/>
        <rFont val="Meiryo UI"/>
        <family val="3"/>
        <charset val="128"/>
      </rPr>
      <t>LOW PRODUCTIVITY EXPLANATION</t>
    </r>
    <r>
      <rPr>
        <sz val="8"/>
        <rFont val="Meiryo UI"/>
        <family val="3"/>
        <charset val="128"/>
      </rPr>
      <t xml:space="preserve">
- Task 1, 2 and 3 are the ones with low productivity and the member mentioned that he was still adjusting to the transition stage task at that time which resulted in longer time to complete the first 3 tasks. But as he moved to task 4 onwards, his productivity improves.
- Task 1 and 2 are transitioning to one another, the member spent more time in analysis because this kind of task is new to him.
低生産性の説明
-タスク1、2、3は生産性の低いものであり、メンバーはその時点ではまだ移行段階のタスクに適応していたため、最初の3つのタスクを完了するのに時間がかかったと述べています。しかし、タスク4以降に進むにつれて、彼の生産性は向上します。
-タスク1と2が相互に移行しています。この種のタスクは初めてのため、メンバーは分析に多くの時間を費やしました。</t>
    </r>
  </si>
  <si>
    <t>- This Junior member require less supervision from his lead and on top of that he helps other Junior members with their tasks.
このジュニアメンバーは、リーダーからの監督をあまり必要としない上に、他のジュニアメンバーのタスクを助けます。</t>
  </si>
  <si>
    <t xml:space="preserve">①Thorough self check
②Analysis of findings/errors/misses
③Knowledge sharing/best practices by Top Performers
④Additional technical TL to support debugging and inquries
⑤Knowledge base creation &amp; maintenance </t>
  </si>
  <si>
    <t>Clarence Bauzon</t>
    <phoneticPr fontId="10"/>
  </si>
  <si>
    <r>
      <rPr>
        <b/>
        <sz val="8"/>
        <rFont val="Meiryo UI"/>
        <family val="3"/>
        <charset val="128"/>
      </rPr>
      <t>Productivity:</t>
    </r>
    <r>
      <rPr>
        <sz val="8"/>
        <rFont val="Meiryo UI"/>
        <family val="3"/>
        <charset val="128"/>
      </rPr>
      <t xml:space="preserve"> Average productivity
</t>
    </r>
    <r>
      <rPr>
        <b/>
        <sz val="8"/>
        <rFont val="Meiryo UI"/>
        <family val="3"/>
        <charset val="128"/>
      </rPr>
      <t>Quality:</t>
    </r>
    <r>
      <rPr>
        <sz val="8"/>
        <rFont val="Meiryo UI"/>
        <family val="3"/>
        <charset val="128"/>
      </rPr>
      <t xml:space="preserve"> Average quality
</t>
    </r>
    <r>
      <rPr>
        <b/>
        <sz val="8"/>
        <rFont val="Meiryo UI"/>
        <family val="3"/>
        <charset val="128"/>
      </rPr>
      <t>Team Contribution:</t>
    </r>
    <r>
      <rPr>
        <sz val="8"/>
        <rFont val="Meiryo UI"/>
        <family val="3"/>
        <charset val="128"/>
      </rPr>
      <t xml:space="preserve"> 
- Completed other members's PG, PTS PTE help them recover from delay.
</t>
    </r>
    <r>
      <rPr>
        <b/>
        <sz val="8"/>
        <rFont val="Meiryo UI"/>
        <family val="3"/>
        <charset val="128"/>
      </rPr>
      <t>N206570G</t>
    </r>
    <r>
      <rPr>
        <sz val="8"/>
        <rFont val="Meiryo UI"/>
        <family val="3"/>
        <charset val="128"/>
      </rPr>
      <t xml:space="preserve"> - Raven Atienza Task 7</t>
    </r>
  </si>
  <si>
    <t>Delays are mainly due to the late start of transition tasks for being one of the sankaku members during OJT phase</t>
  </si>
  <si>
    <t>QA9件。うちPJQA2件。
JGG側で対応したQAの回答を確認しないまま異なる修正をかけてしまい、JGG側の対応が消えてしまったうえで同一内容のQAを再度起票している。
基本動作のフォローが必要。</t>
    <phoneticPr fontId="10"/>
  </si>
  <si>
    <r>
      <rPr>
        <b/>
        <sz val="8"/>
        <rFont val="Meiryo UI"/>
        <family val="3"/>
        <charset val="128"/>
      </rPr>
      <t>LOW QUALITY EXPLANATION</t>
    </r>
    <r>
      <rPr>
        <sz val="8"/>
        <rFont val="Meiryo UI"/>
        <family val="3"/>
        <charset val="128"/>
      </rPr>
      <t xml:space="preserve">
- Highly dependent on SR memnbers, when lead support has been decreased due to the work overload. This member becomes prone to mistakes and error which resulted in low quality and slow progression.
- Lack of resourcefulness and don't know what to do when unguided. This member tends to work on less priority task when no one tells him what to do next. He lacks the ability to troubleshoot on his own when encounters error.
</t>
    </r>
    <r>
      <rPr>
        <b/>
        <sz val="8"/>
        <rFont val="Meiryo UI"/>
        <family val="3"/>
        <charset val="128"/>
      </rPr>
      <t>LOW PRODUCTIVITY EXPLANATION</t>
    </r>
    <r>
      <rPr>
        <sz val="8"/>
        <rFont val="Meiryo UI"/>
        <family val="3"/>
        <charset val="128"/>
      </rPr>
      <t xml:space="preserve">
- The evaluation score doesn't show it yet but the productivity is epexted to be low as well. And that is mainly because of his tasks low quality. It resulted in low productivity due to significant amount of time spent on rework.
</t>
    </r>
    <r>
      <rPr>
        <sz val="8"/>
        <color rgb="FF0070C0"/>
        <rFont val="Meiryo UI"/>
        <family val="3"/>
        <charset val="128"/>
      </rPr>
      <t>質の低い説明
- SRメンバーへの依存度が高く、業務過多によりリードのサポートが減少した場合。このメンバーはミスやエラーを起こしやすく、その結果、品質が低下し、進歩が遅くなる。
- 臨機応変さに欠け、指導されないと何をすべきかわからない。このメンバーは、誰も次に何をすべきかを指示しないと、優先順位の低い仕事に取り組む傾向がある。エラーに遭遇したときに自分でトラブルシューティングする能力に欠けている。
生産性の低さの説明
- 評価スコアにはまだ表れていないが、生産性も低い。その主な原因は、彼のタスクの質の低さである。その結果、手戻りに多大な時間を費やし、生産性が低くなった。</t>
    </r>
  </si>
  <si>
    <r>
      <t xml:space="preserve">- The member shows willingness to continue in Kaizen.
- The member have four tasks advanced in Kaizen and can still catch up once Transition tasks has been completed
</t>
    </r>
    <r>
      <rPr>
        <b/>
        <sz val="8"/>
        <rFont val="Meiryo UI"/>
        <family val="3"/>
        <charset val="128"/>
      </rPr>
      <t xml:space="preserve">
</t>
    </r>
    <r>
      <rPr>
        <sz val="8"/>
        <color rgb="FF0070C0"/>
        <rFont val="Meiryo UI"/>
        <family val="3"/>
        <charset val="128"/>
      </rPr>
      <t>カイゼンを継続する意欲がある。
- メンバーはカイゼンで4つのタスクを進めており、移行タスクが完了してもまだ追いつくことができる。</t>
    </r>
  </si>
  <si>
    <t>①セルフチェック、リーダレビュー(Thorough self check/Leader Review)
②自己分析、品質改善計画の実行(Analysis of findings/errors/misses through QMS)
③品質改善計画の分析とメンバーへの共有(Knowledge sharing/best practices by Top Performers)
④ノウハウ検索DB(Knowledge base creation &amp; maintenance) 
⑤QA分析と対策(QA analysis + survey of common issues and resolution)
⑥テクニカルTLによる調査・デバッグ等のサポート(Additional technical TL to support debugging and inquiries)
⑦作業時間のモニタリング・管理(Monitor Admin Tasks (updating of trackers, etc))
⑧日本との勉強会(Study Session with Japan side) ※新垣さんが実施している勉強会をイメージ</t>
  </si>
  <si>
    <t>David Solomon Trabajo</t>
  </si>
  <si>
    <r>
      <rPr>
        <b/>
        <sz val="8"/>
        <rFont val="Meiryo UI"/>
        <family val="3"/>
        <charset val="128"/>
      </rPr>
      <t xml:space="preserve">Productivity: </t>
    </r>
    <r>
      <rPr>
        <sz val="8"/>
        <rFont val="Meiryo UI"/>
        <family val="3"/>
        <charset val="128"/>
      </rPr>
      <t xml:space="preserve">Average of 93.8% in 4 completed tasks.
</t>
    </r>
    <r>
      <rPr>
        <b/>
        <sz val="8"/>
        <rFont val="Meiryo UI"/>
        <family val="3"/>
        <charset val="128"/>
      </rPr>
      <t>Quality:</t>
    </r>
    <r>
      <rPr>
        <sz val="8"/>
        <rFont val="Meiryo UI"/>
        <family val="3"/>
        <charset val="128"/>
      </rPr>
      <t xml:space="preserve"> 8 app error in 1.0KStep (4 tasks). Meeting target. 
</t>
    </r>
    <r>
      <rPr>
        <b/>
        <sz val="8"/>
        <rFont val="Meiryo UI"/>
        <family val="3"/>
        <charset val="128"/>
      </rPr>
      <t xml:space="preserve">
Team Contribution:</t>
    </r>
    <r>
      <rPr>
        <sz val="8"/>
        <rFont val="Meiryo UI"/>
        <family val="3"/>
        <charset val="128"/>
      </rPr>
      <t xml:space="preserve"> 
- Leads one of the sub group in the team.
- Supports JR members onsite
- Performs interal reviews. 
- This member provides support in analysis and troubleshooting of errors or issues.</t>
    </r>
  </si>
  <si>
    <t>High Performer - delays are due to internal review tasks and supporting the team for their inquiries. Some issues are resolves internally due to support this member has provided.</t>
  </si>
  <si>
    <t>QA8件。うちPJQA3件。
その他のものもデータに関するもの以外だと自己解決は難しいレベルのQAが多く、特段問題はなさそう。</t>
    <rPh sb="12" eb="13">
      <t>ケン</t>
    </rPh>
    <rPh sb="17" eb="18">
      <t>ホカ</t>
    </rPh>
    <rPh sb="26" eb="27">
      <t>カン</t>
    </rPh>
    <rPh sb="31" eb="33">
      <t>イガイ</t>
    </rPh>
    <rPh sb="35" eb="39">
      <t>ジコカイケツ</t>
    </rPh>
    <rPh sb="40" eb="41">
      <t>ムズカ</t>
    </rPh>
    <rPh sb="50" eb="51">
      <t>オオ</t>
    </rPh>
    <rPh sb="53" eb="55">
      <t>トクダン</t>
    </rPh>
    <rPh sb="55" eb="57">
      <t>モンダイ</t>
    </rPh>
    <phoneticPr fontId="10"/>
  </si>
  <si>
    <t>Task1:8件、テストケース過多/不足、画面編集ミス、納品資産の不足、単純ミス
Task2:3件、テストエビデンス不足、単純ミス
Task3:5件、テストエビデンス不足、単純ミス、仕様書雛形の選択ミス
Task4:1件、テストケース過多/不足
Task5:1件、テストケース過多/不足</t>
  </si>
  <si>
    <r>
      <rPr>
        <b/>
        <sz val="8"/>
        <rFont val="Meiryo UI"/>
        <family val="3"/>
        <charset val="128"/>
      </rPr>
      <t>LOW QUALITY EXPLANATION</t>
    </r>
    <r>
      <rPr>
        <sz val="8"/>
        <rFont val="Meiryo UI"/>
        <family val="3"/>
        <charset val="128"/>
      </rPr>
      <t xml:space="preserve">
- Task 3, 5, 7 and 9 don’t have quality info.
- Task 6 which has the lowest quality have an invalid audit findings which was raised by the member.
</t>
    </r>
    <r>
      <rPr>
        <b/>
        <sz val="8"/>
        <color rgb="FFFF0000"/>
        <rFont val="Meiryo UI"/>
        <family val="3"/>
        <charset val="128"/>
      </rPr>
      <t>REASON FOR DELAY DESPITE HIGH PRODUCTIVITY</t>
    </r>
    <r>
      <rPr>
        <sz val="8"/>
        <rFont val="Meiryo UI"/>
        <family val="3"/>
        <charset val="128"/>
      </rPr>
      <t xml:space="preserve">
- Internal review bottleneck, some request takes up to a week before being sent to CH review.
- There are scenario wherein the audit findings were sent in bulk, including the JGG findings, so it took a while for the member to resend for 2nd review.
- Blockers
'低品質の説明
-タスク3、5、7、9には品質情報がありません
-品質が最も低いタスク6には、メンバーによって提起された無効な監査結果があります。
生産性が高いにもかかわらず遅延する理由
-内部レビューのボトルネック、一部の要求はCHレビューに送信される前に最大1週間かかります。
-JGGの結果を含めて監査結果が一括送信されたため、メンバーが2回目のレビューのために再送信するまでに時間がかかったシナリオがあります。
-ブロッカー</t>
    </r>
  </si>
  <si>
    <t>- Member is high contributor and was one of the main person to support the team with regards to uncommon error or issues
- Technical and can support the members with their Qas which resulted in less QA for team C
'-メンバーは貢献度が高く、まれなエラーや問題に関してチームをサポートする主要な人物の1人でした。
-技術的であり、メンバーのQAをサポートできるため、チームCのQAが少なくなる</t>
  </si>
  <si>
    <t>N203L70G</t>
  </si>
  <si>
    <t>Francis Cholo Manglicmot</t>
  </si>
  <si>
    <r>
      <rPr>
        <b/>
        <sz val="8"/>
        <rFont val="Meiryo UI"/>
        <family val="3"/>
        <charset val="128"/>
      </rPr>
      <t xml:space="preserve">Productivity: </t>
    </r>
    <r>
      <rPr>
        <sz val="8"/>
        <rFont val="Meiryo UI"/>
        <family val="3"/>
        <charset val="128"/>
      </rPr>
      <t xml:space="preserve">Average of 83.5% in 4 completed tasks. Above target. 
</t>
    </r>
    <r>
      <rPr>
        <b/>
        <sz val="8"/>
        <rFont val="Meiryo UI"/>
        <family val="3"/>
        <charset val="128"/>
      </rPr>
      <t xml:space="preserve">Quality: </t>
    </r>
    <r>
      <rPr>
        <sz val="8"/>
        <rFont val="Meiryo UI"/>
        <family val="3"/>
        <charset val="128"/>
      </rPr>
      <t xml:space="preserve">7 app error in 2.3KStep (4 tasks). Above target.
</t>
    </r>
    <r>
      <rPr>
        <b/>
        <sz val="8"/>
        <rFont val="Meiryo UI"/>
        <family val="3"/>
        <charset val="128"/>
      </rPr>
      <t>On-time completion rate</t>
    </r>
    <r>
      <rPr>
        <sz val="8"/>
        <rFont val="Meiryo UI"/>
        <family val="3"/>
        <charset val="128"/>
      </rPr>
      <t xml:space="preserve"> is only 44.4%. </t>
    </r>
    <r>
      <rPr>
        <b/>
        <sz val="8"/>
        <rFont val="Meiryo UI"/>
        <family val="3"/>
        <charset val="128"/>
      </rPr>
      <t xml:space="preserve">
Team Contribution:</t>
    </r>
    <r>
      <rPr>
        <sz val="8"/>
        <rFont val="Meiryo UI"/>
        <family val="3"/>
        <charset val="128"/>
      </rPr>
      <t xml:space="preserve"> 
- Leads one of the sub group in the team.
- Supports JR members onsite
- Performs interal reviews. 
- This member provides support in analysis and troubleshooting of errors or issues.</t>
    </r>
  </si>
  <si>
    <t>QA21件。うちPJQA2件。
件数が多く、内容も自己解決可能なものがあるが、添付資料のレベルが上がってきており成長が感じられる。</t>
    <rPh sb="13" eb="14">
      <t>ケン</t>
    </rPh>
    <rPh sb="16" eb="18">
      <t>ケンスウ</t>
    </rPh>
    <rPh sb="19" eb="20">
      <t>オオ</t>
    </rPh>
    <rPh sb="22" eb="24">
      <t>ナイヨウ</t>
    </rPh>
    <rPh sb="25" eb="29">
      <t>ジコカイケツ</t>
    </rPh>
    <rPh sb="29" eb="31">
      <t>カノウ</t>
    </rPh>
    <rPh sb="39" eb="43">
      <t>テンプシリョウ</t>
    </rPh>
    <rPh sb="48" eb="49">
      <t>ア</t>
    </rPh>
    <rPh sb="56" eb="58">
      <t>セイチョウ</t>
    </rPh>
    <rPh sb="59" eb="60">
      <t>カン</t>
    </rPh>
    <phoneticPr fontId="10"/>
  </si>
  <si>
    <t>Task1:9件、単純ミス、エビデンス改善要、テストケース過多/不足、納品資産の不足
Task2:6件、構成資産一覧記入不足、単純ミス、テストケース過多/不足、画面編集ミス
Task3:4件、構成資産一覧記入不足、単純ミス、テストケース過多/不足、エビデンス不足
Task4:9件、テストケース過多/不足、テストケース理解不足、テストデータ不備、エビデンス不足、画面編集ミス、単純ミス、規約違反
Task5:6件、構成資産一覧記入不足、画面編集ミス、エビデンス不足、テストデータ不備、テストケース過多/不足、納品資産の不足
Task6:3件、構成資産一覧記入不足、テストケース過多/不足、納品資産の不足
Task6:2件、テストケース過多/不足</t>
  </si>
  <si>
    <r>
      <rPr>
        <b/>
        <sz val="8"/>
        <rFont val="Meiryo UI"/>
        <family val="3"/>
        <charset val="128"/>
      </rPr>
      <t>LOW QUALITY EXPLANATION</t>
    </r>
    <r>
      <rPr>
        <sz val="8"/>
        <rFont val="Meiryo UI"/>
        <family val="3"/>
        <charset val="128"/>
      </rPr>
      <t xml:space="preserve">
- Member findings are minor such as typo and on one occation he missed to upload a file because that specific file was not covered during OJT or KT.</t>
    </r>
  </si>
  <si>
    <t>- Member is high contributor and was one of the main person to support the team with regards to uncommon error or issues
- Technical and can support the members with their Qas which resulted in less QA for team C</t>
  </si>
  <si>
    <t>Jan Eman Zaldua</t>
    <phoneticPr fontId="10"/>
  </si>
  <si>
    <r>
      <t xml:space="preserve">Productivity: </t>
    </r>
    <r>
      <rPr>
        <sz val="8"/>
        <rFont val="Meiryo UI"/>
        <family val="3"/>
        <charset val="128"/>
      </rPr>
      <t>Average productivity</t>
    </r>
    <r>
      <rPr>
        <b/>
        <sz val="8"/>
        <rFont val="Meiryo UI"/>
        <family val="3"/>
        <charset val="128"/>
      </rPr>
      <t xml:space="preserve">
Quality: </t>
    </r>
    <r>
      <rPr>
        <sz val="8"/>
        <rFont val="Meiryo UI"/>
        <family val="3"/>
        <charset val="128"/>
      </rPr>
      <t>Average quality</t>
    </r>
    <r>
      <rPr>
        <b/>
        <sz val="8"/>
        <rFont val="Meiryo UI"/>
        <family val="3"/>
        <charset val="128"/>
      </rPr>
      <t xml:space="preserve">
Team Contribution: </t>
    </r>
    <r>
      <rPr>
        <sz val="8"/>
        <rFont val="Meiryo UI"/>
        <family val="3"/>
        <charset val="128"/>
      </rPr>
      <t>Low team contribution</t>
    </r>
  </si>
  <si>
    <t>Delays are mainly due to long vacation leaves and blockers.The member was advance prior his long vacatiion.</t>
  </si>
  <si>
    <t>QA9件。うちPJQA3件。
データとV2動作に関するQAで問題ないと思われる。</t>
    <phoneticPr fontId="10"/>
  </si>
  <si>
    <r>
      <rPr>
        <b/>
        <sz val="8"/>
        <rFont val="Meiryo UI"/>
        <family val="3"/>
        <charset val="128"/>
      </rPr>
      <t>LOW QUALITY AND PRODUCTITIVITY EXPLANATION</t>
    </r>
    <r>
      <rPr>
        <sz val="8"/>
        <rFont val="Meiryo UI"/>
        <family val="3"/>
        <charset val="128"/>
      </rPr>
      <t xml:space="preserve">
- Long Vacation leave in December, prior the long vacation leave this member is advanced until task 5, though all PTE were not completed due to issues. Upon his return, his delay started to grow due to analysis and troubleshooting spent in PTE of his task 1 to 3</t>
    </r>
    <r>
      <rPr>
        <sz val="8"/>
        <color rgb="FF0070C0"/>
        <rFont val="Meiryo UI"/>
        <family val="3"/>
        <charset val="128"/>
      </rPr>
      <t xml:space="preserve">
</t>
    </r>
    <r>
      <rPr>
        <sz val="8"/>
        <rFont val="Meiryo UI"/>
        <family val="3"/>
        <charset val="128"/>
      </rPr>
      <t xml:space="preserve">- </t>
    </r>
    <r>
      <rPr>
        <sz val="8"/>
        <color rgb="FFFF0000"/>
        <rFont val="Meiryo UI"/>
        <family val="3"/>
        <charset val="128"/>
      </rPr>
      <t>PTE of task 1, 2 and 3 took a lot of time to complete due to blockers.</t>
    </r>
    <r>
      <rPr>
        <sz val="8"/>
        <rFont val="Meiryo UI"/>
        <family val="3"/>
        <charset val="128"/>
      </rPr>
      <t xml:space="preserve">
- A total of 9 QA has been raised
- Task 4 N203111G was complex for the member's level
</t>
    </r>
    <r>
      <rPr>
        <sz val="8"/>
        <color rgb="FF0070C0"/>
        <rFont val="Meiryo UI"/>
        <family val="3"/>
        <charset val="128"/>
      </rPr>
      <t xml:space="preserve">低品質と生産性の説明
- 12月の長期休暇前、このメンバーはタスク5まで進めていたが、課題によりすべてのPTEが完了していなかった。復帰後、タスク1～3のPTEに費やした分析とトラブルシューティングのため、遅れが大きくなり始めた。
- </t>
    </r>
    <r>
      <rPr>
        <sz val="8"/>
        <color rgb="FFFF0000"/>
        <rFont val="Meiryo UI"/>
        <family val="3"/>
        <charset val="128"/>
      </rPr>
      <t>タスク1、2、3のPTEは、ブロッカーのために完了するのに多くの時間を要した</t>
    </r>
    <r>
      <rPr>
        <sz val="8"/>
        <color rgb="FF0070C0"/>
        <rFont val="Meiryo UI"/>
        <family val="3"/>
        <charset val="128"/>
      </rPr>
      <t>。
- 合計9件のQAが提起された
- タスク4 N203111Gはメンバーのレベルに対して複雑であった</t>
    </r>
  </si>
  <si>
    <r>
      <t xml:space="preserve">- Despite the slow progress, this member shows willingness to learn and compliant with the instructions. With ample time to adjust to his task, this member will be good fit for the project in the long run.
</t>
    </r>
    <r>
      <rPr>
        <b/>
        <sz val="8"/>
        <color rgb="FFFF0000"/>
        <rFont val="Meiryo UI"/>
        <family val="3"/>
        <charset val="128"/>
      </rPr>
      <t>Kaizen Task Status: 68% Overall Completion Rate</t>
    </r>
    <r>
      <rPr>
        <b/>
        <sz val="8"/>
        <color rgb="FF0070C0"/>
        <rFont val="Meiryo UI"/>
        <family val="3"/>
        <charset val="128"/>
      </rPr>
      <t xml:space="preserve">
</t>
    </r>
    <r>
      <rPr>
        <sz val="8"/>
        <rFont val="Meiryo UI"/>
        <family val="3"/>
        <charset val="128"/>
      </rPr>
      <t xml:space="preserve">- PTE2 and PG3 are both blocked. Member is currently working on his last task PG4 while waiting or the QA. Blocker is due to "No test data" which is dependent to customer.
</t>
    </r>
    <r>
      <rPr>
        <sz val="8"/>
        <color rgb="FF0070C0"/>
        <rFont val="Meiryo UI"/>
        <family val="3"/>
        <charset val="128"/>
      </rPr>
      <t>進歩が遅いにもかかわらず、このメンバーは学ぶ意欲を示し、指示を遵守している。自分の仕事に慣れるのに十分な時間があれば、このメンバーは長期的にはプロジェクトに適しているだろう。
カイゼン・タスクの状況 全体の完了率50
- PTE2とPG3は両方ともブロックされている。メンバーは現在、最後のタスクである PG4 に取り組んでいる。ブロックの原因は「テストデータがない」であり、これは顧客に依存している。</t>
    </r>
  </si>
  <si>
    <t>Jason Paul Rosario</t>
  </si>
  <si>
    <r>
      <rPr>
        <b/>
        <sz val="8"/>
        <rFont val="Meiryo UI"/>
        <family val="3"/>
        <charset val="128"/>
      </rPr>
      <t>Productivity:</t>
    </r>
    <r>
      <rPr>
        <sz val="8"/>
        <rFont val="Meiryo UI"/>
        <family val="3"/>
        <charset val="128"/>
      </rPr>
      <t xml:space="preserve"> Average of 97.7% in 4 completed tasks. Above target. 
</t>
    </r>
    <r>
      <rPr>
        <b/>
        <sz val="8"/>
        <rFont val="Meiryo UI"/>
        <family val="3"/>
        <charset val="128"/>
      </rPr>
      <t>Quality:</t>
    </r>
    <r>
      <rPr>
        <sz val="8"/>
        <rFont val="Meiryo UI"/>
        <family val="3"/>
        <charset val="128"/>
      </rPr>
      <t xml:space="preserve"> Good quality
</t>
    </r>
    <r>
      <rPr>
        <b/>
        <sz val="8"/>
        <rFont val="Meiryo UI"/>
        <family val="3"/>
        <charset val="128"/>
      </rPr>
      <t>On-time completion rate</t>
    </r>
    <r>
      <rPr>
        <sz val="8"/>
        <rFont val="Meiryo UI"/>
        <family val="3"/>
        <charset val="128"/>
      </rPr>
      <t xml:space="preserve"> is only 50%. 
</t>
    </r>
    <r>
      <rPr>
        <b/>
        <sz val="8"/>
        <rFont val="Meiryo UI"/>
        <family val="3"/>
        <charset val="128"/>
      </rPr>
      <t>Team Contribution:</t>
    </r>
    <r>
      <rPr>
        <sz val="8"/>
        <rFont val="Meiryo UI"/>
        <family val="3"/>
        <charset val="128"/>
      </rPr>
      <t xml:space="preserve"> 
- One of the Jr. member who does internal review for the team. 
- Completed other members's PG, PTS PTE help them recover from delay.
</t>
    </r>
    <r>
      <rPr>
        <b/>
        <sz val="8"/>
        <rFont val="Meiryo UI"/>
        <family val="3"/>
        <charset val="128"/>
      </rPr>
      <t>N207120G</t>
    </r>
    <r>
      <rPr>
        <sz val="8"/>
        <rFont val="Meiryo UI"/>
        <family val="3"/>
        <charset val="128"/>
      </rPr>
      <t xml:space="preserve"> - Jan Emman Zaldua Task 7</t>
    </r>
  </si>
  <si>
    <t>Delay reasons are due to the following.
- Issues &amp; Blockers
- Pending PG review which affects the start of PTE.
- Task 8 and 9 are both blocked</t>
  </si>
  <si>
    <t>QA18件。うちPJQA5件。
一部教育済み内容に関するQAがあるものの、自己解決が難しいQAも多く、全体として問題ないと思われる。</t>
    <rPh sb="13" eb="14">
      <t>ケン</t>
    </rPh>
    <rPh sb="16" eb="18">
      <t>イチブ</t>
    </rPh>
    <rPh sb="18" eb="21">
      <t>キョウイクズ</t>
    </rPh>
    <rPh sb="22" eb="24">
      <t>ナイヨウ</t>
    </rPh>
    <rPh sb="25" eb="26">
      <t>カン</t>
    </rPh>
    <rPh sb="37" eb="41">
      <t>ジコカイケツ</t>
    </rPh>
    <rPh sb="42" eb="43">
      <t>ムズカ</t>
    </rPh>
    <rPh sb="48" eb="49">
      <t>オオ</t>
    </rPh>
    <rPh sb="51" eb="53">
      <t>ゼンタイ</t>
    </rPh>
    <rPh sb="56" eb="58">
      <t>モンダイ</t>
    </rPh>
    <rPh sb="61" eb="62">
      <t>オモ</t>
    </rPh>
    <phoneticPr fontId="10"/>
  </si>
  <si>
    <t>Task1:4件、画面編集ミス、単純ミス、テストケース理解不足
Task2:2件、テストケース過多/不足、エビデンス不足
Task3:0件、
Task4:3件、テストケース過多/不足、エビデンス不足、テストデータ不備
Task5:2件、テストケース過多/不足、ソースがコンパイル無い
Task6:1件、エビデンス不足</t>
  </si>
  <si>
    <r>
      <rPr>
        <b/>
        <sz val="8"/>
        <color rgb="FFFF0000"/>
        <rFont val="Meiryo UI"/>
        <family val="3"/>
        <charset val="128"/>
      </rPr>
      <t>REASON FOR DELAY DESPITE HIGH PRODUCTIVITY</t>
    </r>
    <r>
      <rPr>
        <sz val="8"/>
        <rFont val="Meiryo UI"/>
        <family val="3"/>
        <charset val="128"/>
      </rPr>
      <t xml:space="preserve">
- Internal and FXS review bottleneck.
- Blockers
-内部およびFXSレビューのボトルネック。
-ブロッカー</t>
    </r>
    <phoneticPr fontId="10"/>
  </si>
  <si>
    <t>Jemuel Zohar Ortega</t>
  </si>
  <si>
    <r>
      <rPr>
        <b/>
        <sz val="8"/>
        <rFont val="Meiryo UI"/>
        <family val="3"/>
        <charset val="128"/>
      </rPr>
      <t>Productivity:</t>
    </r>
    <r>
      <rPr>
        <sz val="8"/>
        <rFont val="Meiryo UI"/>
        <family val="3"/>
        <charset val="128"/>
      </rPr>
      <t xml:space="preserve"> Average of 55.9% in 3 completed tasks. . 
</t>
    </r>
    <r>
      <rPr>
        <b/>
        <sz val="8"/>
        <rFont val="Meiryo UI"/>
        <family val="3"/>
        <charset val="128"/>
      </rPr>
      <t>Quality:</t>
    </r>
    <r>
      <rPr>
        <sz val="8"/>
        <rFont val="Meiryo UI"/>
        <family val="3"/>
        <charset val="128"/>
      </rPr>
      <t xml:space="preserve"> 6 app error in 0.6KStep (3 tasks). 
</t>
    </r>
    <r>
      <rPr>
        <b/>
        <sz val="8"/>
        <rFont val="Meiryo UI"/>
        <family val="3"/>
        <charset val="128"/>
      </rPr>
      <t>On-time completion rate</t>
    </r>
    <r>
      <rPr>
        <sz val="8"/>
        <rFont val="Meiryo UI"/>
        <family val="3"/>
        <charset val="128"/>
      </rPr>
      <t xml:space="preserve"> is 33.3%. 
</t>
    </r>
    <r>
      <rPr>
        <b/>
        <sz val="8"/>
        <rFont val="Meiryo UI"/>
        <family val="3"/>
        <charset val="128"/>
      </rPr>
      <t xml:space="preserve">
Team Contribution:</t>
    </r>
    <r>
      <rPr>
        <sz val="8"/>
        <rFont val="Meiryo UI"/>
        <family val="3"/>
        <charset val="128"/>
      </rPr>
      <t xml:space="preserve"> One of the Jr. member who does internal review for the team.</t>
    </r>
  </si>
  <si>
    <t>Delay reasons are due to the following.
- Issues &amp; Blockers
Low quality reason is due to size of task. The member's task si significantly small that even 1 minor finding can cause low qualtiy score.</t>
  </si>
  <si>
    <t>QA9件。うちPJQA5件。
データやそれらのテストエビデンスの取得方法に関するQA。問題ない。</t>
    <phoneticPr fontId="10"/>
  </si>
  <si>
    <t>Task1:10件、単純ミス,画面編集ミス、納品資産の不足
Task2:3件、テストケース過多/不足、単純ミス
Task3:6件、画面編集ミス、テストエビデンス不足、単純ミス
Task4:1件、テストケース過多/不足
Task5:3件、テストケース過多/不足、単純ミス
Task6:5件、テストケース過多/不足、単純ミス,構成資産一覧記入不足
Task7:3件、画面編集ミス、テストケース過多/不足、テストエビデンス不足
Task8:2件、テストケース過多/不足、エビデンス改善要</t>
  </si>
  <si>
    <r>
      <rPr>
        <b/>
        <sz val="8"/>
        <rFont val="Meiryo UI"/>
        <family val="3"/>
        <charset val="128"/>
      </rPr>
      <t>LOW PRODUCTIVITY AND QUALITY EXPLANATION</t>
    </r>
    <r>
      <rPr>
        <sz val="8"/>
        <rFont val="Meiryo UI"/>
        <family val="3"/>
        <charset val="128"/>
      </rPr>
      <t xml:space="preserve">
- The member encountered a lot of issues and blocker in almost all of hs tasks. QA resolution takes a lot of his time. Analysis of issue, trying the new resolutions suggested by JP and onsite support requires a lot of time which affected his overall productivity.
- This member raised 9 QA, some of the QA took long response time. 
QA# 110 - 7 days response time
QA# 268 - 20 ddays reponse time
QA# 367 - 9 days reponse time
</t>
    </r>
    <r>
      <rPr>
        <sz val="8"/>
        <color rgb="FF0070C0"/>
        <rFont val="Meiryo UI"/>
        <family val="3"/>
        <charset val="128"/>
      </rPr>
      <t>低い生産性と質の説明
- ほとんどすべての業務において、多くの問題や障害に遭遇している。QAの解決に多くの時間を取られている。問題の分析、JPから提案された新しい解決策の試行、オンサイトサポートに多くの時間を要し、それが彼の全体的な生産性に影響を与えた。
- このメンバーは9つのQAを提起したが、いくつかのQAは対応に時間がかかった。
QA# 110 - レスポンスタイム7日
QA# 268 - 回答に要した日数：20日
QA# 367 - 9日間の回答時間</t>
    </r>
  </si>
  <si>
    <r>
      <t xml:space="preserve">- Very resourceful and contributes a lot during collaboration.
- Hard working and can work on uncommon task scenarios.
</t>
    </r>
    <r>
      <rPr>
        <b/>
        <sz val="8"/>
        <color theme="1"/>
        <rFont val="Meiryo UI"/>
        <family val="3"/>
        <charset val="128"/>
      </rPr>
      <t>Kaizen Task Status: 95% Overall Completion Rate</t>
    </r>
    <r>
      <rPr>
        <sz val="8"/>
        <color theme="1"/>
        <rFont val="Meiryo UI"/>
        <family val="3"/>
        <charset val="128"/>
      </rPr>
      <t xml:space="preserve">
- Member is currently working on his last Kaizen PTE2. There is no impact to Kaizen task the delays in Ikan.
</t>
    </r>
    <r>
      <rPr>
        <sz val="8"/>
        <color rgb="FF0070C0"/>
        <rFont val="Meiryo UI"/>
        <family val="3"/>
        <charset val="128"/>
      </rPr>
      <t>非常に機知に富み、共同作業中に多くの貢献をする。
- 勤勉で、一般的でない仕事にも取り組むことができる。
カイゼン・タスクの状況 全体の完了率95
- メンバーは現在、最後のカイゼンPTE2に取り組んでいる。イカンの遅れによるカイゼンタスクへの影響はない。</t>
    </r>
  </si>
  <si>
    <t>Joland Romano Ducay</t>
    <phoneticPr fontId="10"/>
  </si>
  <si>
    <r>
      <t xml:space="preserve">Productivity: </t>
    </r>
    <r>
      <rPr>
        <sz val="8"/>
        <rFont val="Meiryo UI"/>
        <family val="3"/>
        <charset val="128"/>
      </rPr>
      <t>Average productivity</t>
    </r>
    <r>
      <rPr>
        <b/>
        <sz val="8"/>
        <rFont val="Meiryo UI"/>
        <family val="3"/>
        <charset val="128"/>
      </rPr>
      <t xml:space="preserve">
Quality: </t>
    </r>
    <r>
      <rPr>
        <sz val="8"/>
        <rFont val="Meiryo UI"/>
        <family val="3"/>
        <charset val="128"/>
      </rPr>
      <t xml:space="preserve">Average quality
Tasks not completed yet hence no score. 
On-time completion rate: 0%
</t>
    </r>
    <r>
      <rPr>
        <b/>
        <sz val="8"/>
        <rFont val="Meiryo UI"/>
        <family val="3"/>
        <charset val="128"/>
      </rPr>
      <t xml:space="preserve">
Team Contribution: </t>
    </r>
    <r>
      <rPr>
        <sz val="8"/>
        <rFont val="Meiryo UI"/>
        <family val="3"/>
        <charset val="128"/>
      </rPr>
      <t>Low team contribution</t>
    </r>
  </si>
  <si>
    <t>Delays are due to complexity of tasks. This member's tasks are significantly larger compare to other Jr. members</t>
  </si>
  <si>
    <t>QA11件。うちPJQA1件。
データとレイアウトに関するQAで問題のあるQAは少ない。</t>
    <phoneticPr fontId="10"/>
  </si>
  <si>
    <t>Task1:22件、構成資産一覧記入不足,テストケース過多/不足、単純ミス、テストエビデンス不足、納品資産の不足,画面編集ミス
Task2:8件、構成資産一覧記入不足,テストケース過多/不足、テストエビデンス不足、納品資産の不足、単純ミス
Task3:6件、テストケース過多/不足、テストエビデンス不足、テストケース理解不足</t>
  </si>
  <si>
    <r>
      <rPr>
        <b/>
        <sz val="8"/>
        <rFont val="Meiryo UI"/>
        <family val="3"/>
        <charset val="128"/>
      </rPr>
      <t>SLOW COMPLETION RATE EXPLANATION</t>
    </r>
    <r>
      <rPr>
        <sz val="8"/>
        <rFont val="Meiryo UI"/>
        <family val="3"/>
        <charset val="128"/>
      </rPr>
      <t xml:space="preserve">
-This member have </t>
    </r>
    <r>
      <rPr>
        <sz val="8"/>
        <color rgb="FFFF0000"/>
        <rFont val="Meiryo UI"/>
        <family val="3"/>
        <charset val="128"/>
      </rPr>
      <t>a more complex task compare to other junior members.</t>
    </r>
    <r>
      <rPr>
        <sz val="8"/>
        <rFont val="Meiryo UI"/>
        <family val="3"/>
        <charset val="128"/>
      </rPr>
      <t xml:space="preserve">
-This member raised 11 QA. Some of the QA took longer response time.
QA# 260 - 15 days response time
QA# 348 - 14 days response time
</t>
    </r>
    <r>
      <rPr>
        <sz val="8"/>
        <color rgb="FF0070C0"/>
        <rFont val="Meiryo UI"/>
        <family val="3"/>
        <charset val="128"/>
      </rPr>
      <t>完了率が遅い
-このメンバーのタスクは、他のジュニアメンバーに比べて複雑である。
-このメンバーは11のQAを出した。いくつかのQAは回答時間が長かった。
QA# 260 - 回答に要した日数 15 日
QA# 348 - 回答に 14 日かかった。</t>
    </r>
  </si>
  <si>
    <r>
      <t xml:space="preserve">- Despite having a more complex task, this member is more independent compare with other members who have less complex task.
</t>
    </r>
    <r>
      <rPr>
        <b/>
        <sz val="8"/>
        <color theme="1"/>
        <rFont val="Meiryo UI"/>
        <family val="3"/>
        <charset val="128"/>
      </rPr>
      <t>Kaizen Task Status: 50% Overall Completion Rate</t>
    </r>
    <r>
      <rPr>
        <sz val="8"/>
        <color theme="1"/>
        <rFont val="Meiryo UI"/>
        <family val="3"/>
        <charset val="128"/>
      </rPr>
      <t xml:space="preserve">
- Member don’t have advance task in Kaizen. However, the member shows good progress recently.
</t>
    </r>
    <r>
      <rPr>
        <sz val="8"/>
        <color rgb="FF0070C0"/>
        <rFont val="Meiryo UI"/>
        <family val="3"/>
        <charset val="128"/>
      </rPr>
      <t>より複雑なタスクを持っているにもかかわらず、このメンバーは、より複雑でないタスクを持つ他のメンバーに比べて自立している
カイゼン・タスクの状況 全体の完了率50
- メンバーはカイゼンの事前課題を持っていない。しかし、最近の進捗状況は良好である。</t>
    </r>
  </si>
  <si>
    <t xml:space="preserve">Measure: 
1)Support from leads to address the issue on skills mismatch going forward.
2)Endorse to another evaluation after completing all pending tasks to see if there is improvement in the overall results. </t>
  </si>
  <si>
    <t>Jomari Ivan Fajardo</t>
  </si>
  <si>
    <r>
      <rPr>
        <b/>
        <sz val="8"/>
        <rFont val="Meiryo UI"/>
        <family val="3"/>
        <charset val="128"/>
      </rPr>
      <t>Productivity:</t>
    </r>
    <r>
      <rPr>
        <sz val="8"/>
        <rFont val="Meiryo UI"/>
        <family val="3"/>
        <charset val="128"/>
      </rPr>
      <t xml:space="preserve"> Average of 61.7% in 4 completed tasks. Meeting target. 
</t>
    </r>
    <r>
      <rPr>
        <b/>
        <sz val="8"/>
        <rFont val="Meiryo UI"/>
        <family val="3"/>
        <charset val="128"/>
      </rPr>
      <t>Quality:</t>
    </r>
    <r>
      <rPr>
        <sz val="8"/>
        <rFont val="Meiryo UI"/>
        <family val="3"/>
        <charset val="128"/>
      </rPr>
      <t xml:space="preserve"> 12 app error in 1.8KStep (4 tasks). 
</t>
    </r>
    <r>
      <rPr>
        <b/>
        <sz val="8"/>
        <rFont val="Meiryo UI"/>
        <family val="3"/>
        <charset val="128"/>
      </rPr>
      <t>On-time completion rate</t>
    </r>
    <r>
      <rPr>
        <sz val="8"/>
        <rFont val="Meiryo UI"/>
        <family val="3"/>
        <charset val="128"/>
      </rPr>
      <t xml:space="preserve"> is 50% only. 
</t>
    </r>
    <r>
      <rPr>
        <b/>
        <sz val="8"/>
        <rFont val="Meiryo UI"/>
        <family val="3"/>
        <charset val="128"/>
      </rPr>
      <t xml:space="preserve">
Team Contribution:</t>
    </r>
    <r>
      <rPr>
        <sz val="8"/>
        <rFont val="Meiryo UI"/>
        <family val="3"/>
        <charset val="128"/>
      </rPr>
      <t xml:space="preserve"> Completed multiple tasks of other members to help them recover from delay. One of the internal reviewers and support technical questions of the team.</t>
    </r>
  </si>
  <si>
    <t>Own tasks delay reasons are the following.
- Issue with V2 server
- Blockers
- Pending PG review which affects the start of PTE.</t>
  </si>
  <si>
    <t>QA8件。うちPJQA2件。
自己解決が難しいQAと次回以降は自己解決が見込めるQAが半々となっている。</t>
    <rPh sb="12" eb="13">
      <t>ケン</t>
    </rPh>
    <rPh sb="15" eb="19">
      <t>ジコカイケツ</t>
    </rPh>
    <rPh sb="20" eb="21">
      <t>ムズカ</t>
    </rPh>
    <rPh sb="26" eb="30">
      <t>ジカイイコウ</t>
    </rPh>
    <rPh sb="31" eb="35">
      <t>ジコカイケツ</t>
    </rPh>
    <rPh sb="36" eb="38">
      <t>ミコ</t>
    </rPh>
    <rPh sb="43" eb="45">
      <t>ハンハン</t>
    </rPh>
    <phoneticPr fontId="10"/>
  </si>
  <si>
    <t>Task1:2件、構成資産一覧記入不足、単純ミス
Task2:6件、テストケース理解不足、納品資産の不足、テストエビデンス不足
Task3:5件、テストケース過多/不足、納品資産の不足、テストエビデンス不足
Task4:8件、テストケース過多/不足、テストエビデンス不足,テストケース理解不足,構成資産一覧記入不足
Task5:4件、テストケース過多/不足、構成資産一覧記入不足,画面編集ミス
Task6:2件、テストエビデンス不足
Task7:0件、</t>
  </si>
  <si>
    <r>
      <rPr>
        <b/>
        <sz val="8"/>
        <rFont val="Meiryo UI"/>
        <family val="3"/>
        <charset val="128"/>
      </rPr>
      <t>LOW PRODUCTIVITY EXPLANATION</t>
    </r>
    <r>
      <rPr>
        <sz val="8"/>
        <rFont val="Meiryo UI"/>
        <family val="3"/>
        <charset val="128"/>
      </rPr>
      <t xml:space="preserve">
- The member spent some of his time troubleshooting despite having an existing QA for the blocked task. And the time spent on troubleshooting has been added to the actual hours spent on PG, PTS and PTE.(Need to follow QA process)
</t>
    </r>
    <r>
      <rPr>
        <b/>
        <sz val="8"/>
        <rFont val="Meiryo UI"/>
        <family val="3"/>
        <charset val="128"/>
      </rPr>
      <t>LOW QUALITY EXPLANATION</t>
    </r>
    <r>
      <rPr>
        <sz val="8"/>
        <rFont val="Meiryo UI"/>
        <family val="3"/>
        <charset val="128"/>
      </rPr>
      <t xml:space="preserve">
- The member only ask for screenshot from other members due to V2 server issue and there were instance wherein the screenshot he got was incorrect.
- Some QAs are minor like incorrect file names. But because his task is small, even the minor findings will have a significant impact on his quality score.</t>
    </r>
  </si>
  <si>
    <t>- Very resourceful and contributes a lot during collaboration.
- Hard working and can work on uncommon task scenarios</t>
  </si>
  <si>
    <t>Junar Narisma</t>
  </si>
  <si>
    <r>
      <rPr>
        <b/>
        <sz val="8"/>
        <color rgb="FF000000"/>
        <rFont val="Meiryo UI"/>
      </rPr>
      <t>Productivity:</t>
    </r>
    <r>
      <rPr>
        <sz val="8"/>
        <color rgb="FF000000"/>
        <rFont val="Meiryo UI"/>
      </rPr>
      <t xml:space="preserve"> High productivity, was able to advance while at the same time helping other team members with their tasks. Average of 91.1% in 2 completed tasks. Above target. 
</t>
    </r>
    <r>
      <rPr>
        <b/>
        <sz val="8"/>
        <color rgb="FF000000"/>
        <rFont val="Meiryo UI"/>
      </rPr>
      <t>Quality:</t>
    </r>
    <r>
      <rPr>
        <sz val="8"/>
        <color rgb="FF000000"/>
        <rFont val="Meiryo UI"/>
      </rPr>
      <t xml:space="preserve"> 7 app error in 1.9KStep (2 tasks).
</t>
    </r>
    <r>
      <rPr>
        <b/>
        <sz val="8"/>
        <color rgb="FF000000"/>
        <rFont val="Meiryo UI"/>
      </rPr>
      <t>On-time completion rate</t>
    </r>
    <r>
      <rPr>
        <sz val="8"/>
        <color rgb="FF000000"/>
        <rFont val="Meiryo UI"/>
      </rPr>
      <t xml:space="preserve"> is 28.6% only. 
</t>
    </r>
    <r>
      <rPr>
        <b/>
        <sz val="8"/>
        <color rgb="FF000000"/>
        <rFont val="Meiryo UI"/>
      </rPr>
      <t>Team Contribution:</t>
    </r>
    <r>
      <rPr>
        <sz val="8"/>
        <color rgb="FF000000"/>
        <rFont val="Meiryo UI"/>
      </rPr>
      <t xml:space="preserve"> 
- Completed other members's PG, PTS PTE help them recover from delay.
</t>
    </r>
    <r>
      <rPr>
        <b/>
        <sz val="8"/>
        <color rgb="FF000000"/>
        <rFont val="Meiryo UI"/>
      </rPr>
      <t xml:space="preserve">N207230G </t>
    </r>
    <r>
      <rPr>
        <sz val="8"/>
        <color rgb="FF000000"/>
        <rFont val="Meiryo UI"/>
      </rPr>
      <t xml:space="preserve">- Marck Piesta Task 8
</t>
    </r>
    <r>
      <rPr>
        <b/>
        <sz val="8"/>
        <color rgb="FF000000"/>
        <rFont val="Meiryo UI"/>
      </rPr>
      <t xml:space="preserve">N209220G </t>
    </r>
    <r>
      <rPr>
        <sz val="8"/>
        <color rgb="FF000000"/>
        <rFont val="Meiryo UI"/>
      </rPr>
      <t xml:space="preserve">- Clarence Bauzon Task 6
</t>
    </r>
    <r>
      <rPr>
        <b/>
        <sz val="8"/>
        <color rgb="FF000000"/>
        <rFont val="Meiryo UI"/>
      </rPr>
      <t xml:space="preserve">RJ09020G </t>
    </r>
    <r>
      <rPr>
        <sz val="8"/>
        <color rgb="FF000000"/>
        <rFont val="Meiryo UI"/>
      </rPr>
      <t>- Clarence Bauzon Task 7
- This member provides support in analysis and troubleshooting of errors or issues.
- One of the internal reviewers and support technical questions of the team.</t>
    </r>
  </si>
  <si>
    <t>QA11件。うちPJQA2件。
自己解決が難しいQAも4件あり、全体として問題ない。</t>
    <phoneticPr fontId="10"/>
  </si>
  <si>
    <t>Task1:7件、テストケース過多/不足、単純ミス、テストケース理解不足、テストエビデンス不足
Task2:6件、テストケース過多/不足、構成資産一覧記入不足、単純ミス、テストエビデンス不足
Task3:5件、構成資産一覧記入不足、テストケース理解不足、単純ミス
Task4:8件、テストケース過多/不足、テストエビデンス不足、テストケース理解不足、エビデンス改善要</t>
  </si>
  <si>
    <r>
      <rPr>
        <b/>
        <sz val="8"/>
        <color rgb="FF0070C0"/>
        <rFont val="Meiryo UI"/>
        <family val="3"/>
        <charset val="128"/>
      </rPr>
      <t>SLOW PROGRESS REASONS</t>
    </r>
    <r>
      <rPr>
        <sz val="8"/>
        <rFont val="Meiryo UI"/>
        <family val="3"/>
        <charset val="128"/>
      </rPr>
      <t xml:space="preserve">
- PTE blockers prevents the member from completing his tasks. This member has submitted his PG and PTS task 1 to task 7 which includes one of his Kaizen task already on January 4. All PTE are not started mostly because of the blockers.
</t>
    </r>
    <r>
      <rPr>
        <sz val="8"/>
        <color rgb="FF0070C0"/>
        <rFont val="Meiryo UI"/>
        <family val="3"/>
        <charset val="128"/>
      </rPr>
      <t>遅々として進まない理由
- PTE bloackers がメンバーのタスク完了を妨げている。このメンバーは、1月4日にPGとPTSのタスク1からタスク7（カイゼンタスクの1つを含む）をすでに提出している。すべてのPTEが開始されていないのは、ほとんどがブロッカーのせいである。</t>
    </r>
  </si>
  <si>
    <r>
      <t xml:space="preserve">This member completed the following on top of his own tasks 1 to 7. And he also conduct internal review and support junior members.
- N209220G
- KU09020G
- N207230G
</t>
    </r>
    <r>
      <rPr>
        <b/>
        <sz val="8"/>
        <rFont val="Meiryo UI"/>
        <family val="3"/>
        <charset val="128"/>
      </rPr>
      <t xml:space="preserve">Kaizen Task Status: 90% overall completion rate
</t>
    </r>
    <r>
      <rPr>
        <sz val="8"/>
        <rFont val="Meiryo UI"/>
        <family val="3"/>
        <charset val="128"/>
      </rPr>
      <t xml:space="preserve">Member is currently in at task 4 out of 4 Kaizen task. Task 2 to 4 are still advanced.
</t>
    </r>
    <r>
      <rPr>
        <sz val="8"/>
        <color rgb="FF0070C0"/>
        <rFont val="Meiryo UI"/>
        <family val="3"/>
        <charset val="128"/>
      </rPr>
      <t>このメンバーは、自分のタスク1～7に加え、以下のタスクをこなした。また、社内レビューや後輩のサポートも行っている。
- N209220G
- KU09020G
- N207230G
カイゼン・タスクの状況 全体の完了率90
メンバーは現在、4つのカイゼンタスクのうちタスク4に取り組んでいる。タスク2から4はまだ進んでいる。</t>
    </r>
  </si>
  <si>
    <t>Measures: 
1)Endorse to another evaluation after completing all pending tasks to show the actual performance.</t>
  </si>
  <si>
    <t>Marck Jason Piesta</t>
  </si>
  <si>
    <r>
      <rPr>
        <b/>
        <sz val="8"/>
        <rFont val="Meiryo UI"/>
        <family val="3"/>
        <charset val="128"/>
      </rPr>
      <t>Productivity:</t>
    </r>
    <r>
      <rPr>
        <sz val="8"/>
        <rFont val="Meiryo UI"/>
        <family val="3"/>
        <charset val="128"/>
      </rPr>
      <t xml:space="preserve"> Average productivity
</t>
    </r>
    <r>
      <rPr>
        <b/>
        <sz val="8"/>
        <rFont val="Meiryo UI"/>
        <family val="3"/>
        <charset val="128"/>
      </rPr>
      <t>Quality:</t>
    </r>
    <r>
      <rPr>
        <sz val="8"/>
        <rFont val="Meiryo UI"/>
        <family val="3"/>
        <charset val="128"/>
      </rPr>
      <t xml:space="preserve"> Low Quality
</t>
    </r>
    <r>
      <rPr>
        <b/>
        <sz val="8"/>
        <rFont val="Meiryo UI"/>
        <family val="3"/>
        <charset val="128"/>
      </rPr>
      <t xml:space="preserve">Team Contribution: </t>
    </r>
    <r>
      <rPr>
        <sz val="8"/>
        <rFont val="Meiryo UI"/>
        <family val="3"/>
        <charset val="128"/>
      </rPr>
      <t xml:space="preserve">Low team contribution </t>
    </r>
  </si>
  <si>
    <t>Delays is due to late start of Transition tasks. The member could not recover from that delay until the end of transition phase. The delay further accumulates due to issues.</t>
  </si>
  <si>
    <t>Release from the project</t>
  </si>
  <si>
    <t>Ralph Duane Geronimo</t>
    <phoneticPr fontId="10"/>
  </si>
  <si>
    <r>
      <rPr>
        <b/>
        <sz val="8"/>
        <rFont val="Meiryo UI"/>
        <family val="3"/>
        <charset val="128"/>
      </rPr>
      <t>Productivity:</t>
    </r>
    <r>
      <rPr>
        <sz val="8"/>
        <rFont val="Meiryo UI"/>
        <family val="3"/>
        <charset val="128"/>
      </rPr>
      <t xml:space="preserve"> Low productivity
</t>
    </r>
    <r>
      <rPr>
        <b/>
        <sz val="8"/>
        <rFont val="Meiryo UI"/>
        <family val="3"/>
        <charset val="128"/>
      </rPr>
      <t>Quality:</t>
    </r>
    <r>
      <rPr>
        <sz val="8"/>
        <rFont val="Meiryo UI"/>
        <family val="3"/>
        <charset val="128"/>
      </rPr>
      <t xml:space="preserve"> Average quality
</t>
    </r>
    <r>
      <rPr>
        <b/>
        <sz val="8"/>
        <rFont val="Meiryo UI"/>
        <family val="3"/>
        <charset val="128"/>
      </rPr>
      <t>On-time completion rate</t>
    </r>
    <r>
      <rPr>
        <sz val="8"/>
        <rFont val="Meiryo UI"/>
        <family val="3"/>
        <charset val="128"/>
      </rPr>
      <t xml:space="preserve"> is 20% only. 
</t>
    </r>
    <r>
      <rPr>
        <b/>
        <sz val="8"/>
        <rFont val="Meiryo UI"/>
        <family val="3"/>
        <charset val="128"/>
      </rPr>
      <t>Team Contribution:</t>
    </r>
    <r>
      <rPr>
        <sz val="8"/>
        <rFont val="Meiryo UI"/>
        <family val="3"/>
        <charset val="128"/>
      </rPr>
      <t xml:space="preserve"> Low team contribution</t>
    </r>
  </si>
  <si>
    <t>Delays are due to the following factors.
- Long vacation leaves and sick leaves. 
- Task complexity, this members' task is significantly larger compare to other Jr. members.</t>
  </si>
  <si>
    <t>QA4件。うちPJQAなし。
QA件数は少ないが帳票資産の配置漏れがあり、基本的なところの理解に問題が無いか確認は必要と思われる。</t>
    <phoneticPr fontId="10"/>
  </si>
  <si>
    <t>Task1:7件、チェックリスト記入不足、テストケース過多/不足、単純ミス、納品資産の不足、仕様書雛形の選択ミス,画面編集ミス
Task2:3件、チェックリスト記入不足、構成資産一覧記入不足、単純ミス</t>
  </si>
  <si>
    <r>
      <rPr>
        <b/>
        <sz val="8"/>
        <rFont val="Meiryo UI"/>
        <family val="3"/>
        <charset val="128"/>
      </rPr>
      <t>LOW QUALITY EXPLANATION</t>
    </r>
    <r>
      <rPr>
        <sz val="8"/>
        <rFont val="Meiryo UI"/>
        <family val="3"/>
        <charset val="128"/>
      </rPr>
      <t xml:space="preserve">
- The member's task 3 onwards are complex for his level.
- Long vacation leave and sick leaves
- This member is highly dependent to other member and prone to mistakes when unguided
- Low completion rate doesn't show accurate score in productivity and quality
</t>
    </r>
    <r>
      <rPr>
        <sz val="8"/>
        <color rgb="FF0070C0"/>
        <rFont val="Meiryo UI"/>
        <family val="3"/>
        <charset val="128"/>
      </rPr>
      <t>質の低い説明
- メンバーの課題3以降は、彼のレベルにしては複雑である。
- 長期休暇と病気休暇
- 他のメンバーへの依存度が高く、指導されないとミスをしやすい。
- 完了率が低く、生産性において正確なスコアが得られない</t>
    </r>
    <phoneticPr fontId="10"/>
  </si>
  <si>
    <r>
      <t xml:space="preserve">- Despite lacking the necessary skills to complete his own tasks. This member displayed proactiveness aiming to complete his tasks.
- Attendance has improved and approval of VL became more strict for this member
</t>
    </r>
    <r>
      <rPr>
        <b/>
        <sz val="8"/>
        <rFont val="Meiryo UI"/>
        <family val="3"/>
        <charset val="128"/>
      </rPr>
      <t>Kaizen Task Status: 40% Overall Completion Rate</t>
    </r>
    <r>
      <rPr>
        <sz val="8"/>
        <rFont val="Meiryo UI"/>
        <family val="3"/>
        <charset val="128"/>
      </rPr>
      <t xml:space="preserve">
- Member have 3 delayed phases and 2 advance phases. Member is under close monitoring.
</t>
    </r>
    <r>
      <rPr>
        <sz val="8"/>
        <color rgb="FF0070C0"/>
        <rFont val="Meiryo UI"/>
        <family val="3"/>
        <charset val="128"/>
      </rPr>
      <t>- 自分の仕事をこなすのに必要なスキルが不足しているにもかかわらず。このメンバーは、自分の仕事をやり遂げようとする積極性を見せた。
- 出席率が向上し、VLの承認が厳しくなった。
カイゼン・タスクの状況 全体の完了率40
- メンバーには3つの遅延フェーズと2つの前進フェーズがある。メンバーは厳重に監視されている。</t>
    </r>
  </si>
  <si>
    <t>Measure: 
1)Support from leads to address the issue on skills mismatch going forward.
2)Endorse to another evaluation after completing all pending tasks to see if there is improvement in the overall results. 
Long VL and task planning
3)Coaching and close monitoring from Sr.</t>
  </si>
  <si>
    <t>Raven Atienza</t>
  </si>
  <si>
    <r>
      <rPr>
        <b/>
        <sz val="8"/>
        <rFont val="Meiryo UI"/>
        <family val="3"/>
        <charset val="128"/>
      </rPr>
      <t>Productivity:</t>
    </r>
    <r>
      <rPr>
        <sz val="8"/>
        <rFont val="Meiryo UI"/>
        <family val="3"/>
        <charset val="128"/>
      </rPr>
      <t xml:space="preserve"> Low productivity
</t>
    </r>
    <r>
      <rPr>
        <b/>
        <sz val="8"/>
        <rFont val="Meiryo UI"/>
        <family val="3"/>
        <charset val="128"/>
      </rPr>
      <t>Quality:</t>
    </r>
    <r>
      <rPr>
        <sz val="8"/>
        <rFont val="Meiryo UI"/>
        <family val="3"/>
        <charset val="128"/>
      </rPr>
      <t xml:space="preserve"> Low Quality
</t>
    </r>
    <r>
      <rPr>
        <b/>
        <sz val="8"/>
        <rFont val="Meiryo UI"/>
        <family val="3"/>
        <charset val="128"/>
      </rPr>
      <t>Team Contribution:</t>
    </r>
    <r>
      <rPr>
        <sz val="8"/>
        <rFont val="Meiryo UI"/>
        <family val="3"/>
        <charset val="128"/>
      </rPr>
      <t xml:space="preserve"> Low team contribution</t>
    </r>
  </si>
  <si>
    <t>Delays are mainly due to 8 Sick Leaves incurred during entire Transition Phase. His medical condition dyslexia is affeting his overall performance because it is difficult for him to analyze large amount of data. Hence, not recommended for fast paced projects like IPK</t>
  </si>
  <si>
    <t>Not recommended for fast paced project, recommended for project transfer</t>
  </si>
  <si>
    <t>Sheila Catoy</t>
  </si>
  <si>
    <r>
      <rPr>
        <b/>
        <sz val="8"/>
        <rFont val="Meiryo UI"/>
        <family val="3"/>
        <charset val="128"/>
      </rPr>
      <t>Productivity:</t>
    </r>
    <r>
      <rPr>
        <sz val="8"/>
        <rFont val="Meiryo UI"/>
        <family val="3"/>
        <charset val="128"/>
      </rPr>
      <t xml:space="preserve"> Good productivity
</t>
    </r>
    <r>
      <rPr>
        <b/>
        <sz val="8"/>
        <rFont val="Meiryo UI"/>
        <family val="3"/>
        <charset val="128"/>
      </rPr>
      <t>Quality:</t>
    </r>
    <r>
      <rPr>
        <sz val="8"/>
        <rFont val="Meiryo UI"/>
        <family val="3"/>
        <charset val="128"/>
      </rPr>
      <t xml:space="preserve"> Good quality
</t>
    </r>
    <r>
      <rPr>
        <b/>
        <sz val="8"/>
        <rFont val="Meiryo UI"/>
        <family val="3"/>
        <charset val="128"/>
      </rPr>
      <t>Team Contribution:</t>
    </r>
    <r>
      <rPr>
        <sz val="8"/>
        <rFont val="Meiryo UI"/>
        <family val="3"/>
        <charset val="128"/>
      </rPr>
      <t xml:space="preserve"> 
- Provide support in overall team management
- Conducts Internal reviewer of Mid and Sr members tasks</t>
    </r>
  </si>
  <si>
    <t>The delays are due to 
- Issues &amp; Blockers
- Pending PG review which affects the start of PTE.</t>
  </si>
  <si>
    <t>QA3件。うちPJQAなし。
おおむね問題ないが、添付資料がわかりにくいケースがあったため、効率化のため質問内容がわかりやすいQAのあげ方をレクチャーする必要があると思われる。</t>
    <rPh sb="19" eb="21">
      <t>モンダイ</t>
    </rPh>
    <rPh sb="25" eb="29">
      <t>テンプシリョウ</t>
    </rPh>
    <rPh sb="46" eb="49">
      <t>コウリツカ</t>
    </rPh>
    <rPh sb="52" eb="56">
      <t>シツモンナイヨウ</t>
    </rPh>
    <rPh sb="68" eb="69">
      <t>カタ</t>
    </rPh>
    <rPh sb="77" eb="79">
      <t>ヒツヨウ</t>
    </rPh>
    <rPh sb="83" eb="84">
      <t>オモ</t>
    </rPh>
    <phoneticPr fontId="10"/>
  </si>
  <si>
    <t>Task1:5件、テストケース過多/不足、単純ミス、テストケース理解不足、テストエビデンス不足
Task2:2件、テストケース過多/不足</t>
  </si>
  <si>
    <r>
      <rPr>
        <b/>
        <sz val="8"/>
        <rFont val="Meiryo UI"/>
        <family val="3"/>
        <charset val="128"/>
      </rPr>
      <t>LOW PRODUCTIVITY EXPLANATION</t>
    </r>
    <r>
      <rPr>
        <sz val="8"/>
        <rFont val="Meiryo UI"/>
        <family val="3"/>
        <charset val="128"/>
      </rPr>
      <t xml:space="preserve">
- The member spent longer time in analysis during the first 3 task of transition phase. It took her some time before he got used to her transition tasks. On top of that the member encountered blocker which slows her progress more due to time spent on analysis.</t>
    </r>
  </si>
  <si>
    <t>- Member helps with overall management of team and oversee half of the team HC</t>
  </si>
  <si>
    <t>Charles Dalisay</t>
  </si>
  <si>
    <r>
      <rPr>
        <b/>
        <sz val="8"/>
        <rFont val="Meiryo UI"/>
        <family val="3"/>
        <charset val="128"/>
      </rPr>
      <t>Productivity:</t>
    </r>
    <r>
      <rPr>
        <sz val="8"/>
        <rFont val="Meiryo UI"/>
        <family val="3"/>
        <charset val="128"/>
      </rPr>
      <t xml:space="preserve"> Highly productive,managed to do until task 10 even though he was only required to do until task 5 in January. 
</t>
    </r>
    <r>
      <rPr>
        <b/>
        <sz val="8"/>
        <rFont val="Meiryo UI"/>
        <family val="3"/>
        <charset val="128"/>
      </rPr>
      <t>Quality:</t>
    </r>
    <r>
      <rPr>
        <sz val="8"/>
        <rFont val="Meiryo UI"/>
        <family val="3"/>
        <charset val="128"/>
      </rPr>
      <t xml:space="preserve"> Good quality
</t>
    </r>
    <r>
      <rPr>
        <b/>
        <sz val="8"/>
        <rFont val="Meiryo UI"/>
        <family val="3"/>
        <charset val="128"/>
      </rPr>
      <t>Team Contribution:</t>
    </r>
    <r>
      <rPr>
        <sz val="8"/>
        <rFont val="Meiryo UI"/>
        <family val="3"/>
        <charset val="128"/>
      </rPr>
      <t xml:space="preserve"> Does Internal Review, Completed delayed members'tasks and accommodate junior member's questions despite being the last member to join the team.</t>
    </r>
  </si>
  <si>
    <t>High Performer</t>
  </si>
  <si>
    <t>QA9件。うちPJQA4件。
ほとんどのQAが自己解決は難しいものであるため、問題ない。</t>
    <phoneticPr fontId="10"/>
  </si>
  <si>
    <t>Task1:1件、単純ミス
Task2:6件、テストケース過多/不足、単純ミス、エビデンス改善要、納品資産の不足
Task3:4件、テストケース過多/不足、構成資産一覧記入不足、単純ミス、テストエビデンス不足
Task4:7件、テストケース過多/不足、画面編集ミス、構成資産一覧記入不足、単純ミス
Task5:10件、テストケース過多/不足、画面編集ミス、エビデンス改善要、テストエビデンス不足</t>
  </si>
  <si>
    <r>
      <rPr>
        <b/>
        <sz val="8"/>
        <color rgb="FF0070C0"/>
        <rFont val="Meiryo UI"/>
        <family val="3"/>
        <charset val="128"/>
      </rPr>
      <t>SLOW PROGRESS REASONS</t>
    </r>
    <r>
      <rPr>
        <sz val="8"/>
        <rFont val="Meiryo UI"/>
        <family val="3"/>
        <charset val="128"/>
      </rPr>
      <t xml:space="preserve">
- Internal and FXS review bottleneck. Task 2, 3, 4 and 5 PTE were started late.
- Task 2 and 3 has been blocked for couple of weeks.
- Review completion of PTE task 3, 4 and 5 takes a lot of time. Second review of his task 3 is still in progress for weeks.
</t>
    </r>
    <r>
      <rPr>
        <sz val="8"/>
        <color rgb="FF0070C0"/>
        <rFont val="Meiryo UI"/>
        <family val="3"/>
        <charset val="128"/>
      </rPr>
      <t>遅々として進まない理由
- 社内およびFXSレビューがボトルネック。タスク2、3、4、5のPTE開始が遅れた。
- タスク2と3は数週間ブロックされている。
- タスク3、4、5のレビュー完了に時間がかかっている。タスク3の2回目のレビューがまだ数週間進行中。</t>
    </r>
  </si>
  <si>
    <r>
      <t>The member completeed tasks of</t>
    </r>
    <r>
      <rPr>
        <b/>
        <sz val="8"/>
        <rFont val="Meiryo UI"/>
        <family val="3"/>
        <charset val="128"/>
      </rPr>
      <t xml:space="preserve"> low performers </t>
    </r>
    <r>
      <rPr>
        <sz val="8"/>
        <rFont val="Meiryo UI"/>
        <family val="3"/>
        <charset val="128"/>
      </rPr>
      <t xml:space="preserve">and </t>
    </r>
    <r>
      <rPr>
        <b/>
        <sz val="8"/>
        <rFont val="Meiryo UI"/>
        <family val="3"/>
        <charset val="128"/>
      </rPr>
      <t>released member's</t>
    </r>
    <r>
      <rPr>
        <sz val="8"/>
        <rFont val="Meiryo UI"/>
        <family val="3"/>
        <charset val="128"/>
      </rPr>
      <t xml:space="preserve"> tasks on top of his own deliverables while waiting for his blockers to be resolved. Reviews
N203070G
N205040G
N209060G
N209110G
N206570G
KU83420G
</t>
    </r>
    <r>
      <rPr>
        <b/>
        <sz val="8"/>
        <rFont val="Meiryo UI"/>
        <family val="3"/>
        <charset val="128"/>
      </rPr>
      <t>Kaizen Task Status: 60% Overall Completion Rate</t>
    </r>
    <r>
      <rPr>
        <sz val="8"/>
        <rFont val="Meiryo UI"/>
        <family val="3"/>
        <charset val="128"/>
      </rPr>
      <t xml:space="preserve">
- 3 tasks are advanced while 3 are not yet started. Reason for not started tasks is due to recent addition to the member's Kaizen tasks.
</t>
    </r>
    <r>
      <rPr>
        <sz val="8"/>
        <color rgb="FF0070C0"/>
        <rFont val="Meiryo UI"/>
        <family val="3"/>
        <charset val="128"/>
      </rPr>
      <t>このメンバーは、ブロッカーが解消されるのを待つ間、自身の成果物に加え、以下のタスクをこなした。レビュー
N203070G
N205040G
N209060G
N209110G
N206570G
KU83420G</t>
    </r>
  </si>
  <si>
    <t>Rebecca Tempongko</t>
  </si>
  <si>
    <t>Elgine Tacandong</t>
  </si>
  <si>
    <t>Team D</t>
    <phoneticPr fontId="3"/>
  </si>
  <si>
    <t>Martin Garcia</t>
    <phoneticPr fontId="16"/>
  </si>
  <si>
    <t>Adrian Caleb Garon</t>
  </si>
  <si>
    <t>Productivity: Average of 98.7% in 2 completed tasks.
Quality: Zero findings in 2 completed tasks.
On-time completion rate is only 10%
Have good team contribution by help other members task while waiting for his delayed tasks.
Also had some other contribution such as Security PIC for the team.</t>
  </si>
  <si>
    <t>Problem: Member is a decent performer but score does not reflect it correctly.
Root Cause: Task 1 and Task 2 was blocked for the longest time, then becomes available last few weeks of development, causing his task to be delayed.</t>
  </si>
  <si>
    <t>QA26件。うちPJQA1件。
QA数は多いが、ロジックとデータに関するQAで出るべきQA。おおむね問題ないがQA数が多いので、サポート負荷はあると思われる。</t>
    <phoneticPr fontId="10"/>
  </si>
  <si>
    <t>Task1:7件、テストケース過多/不足、テストエビデンス不足、テストケース理解不足、エビデンス改善要,構成資産一覧記入不足
Task2:4件、テストケース過多/不足、単純ミス、テストエビデンス不足
Task3:9件、テストケース過多/不足、単純ミス、テストエビデンス不足,テストケース過多/不足、テストケース理解不足
Task4:3件、テストケース過多/不足、テストエビデンス不足
Task5:7件、画面編集ミス、テストケース過多/不足、構成資産一覧記入不足、エビデンス改善要</t>
  </si>
  <si>
    <r>
      <rPr>
        <b/>
        <sz val="8"/>
        <rFont val="Meiryo UI"/>
        <family val="3"/>
        <charset val="128"/>
      </rPr>
      <t>Low Quality Reason</t>
    </r>
    <r>
      <rPr>
        <sz val="8"/>
        <rFont val="Meiryo UI"/>
        <family val="3"/>
        <charset val="128"/>
      </rPr>
      <t xml:space="preserve">
-ほとんどの一般的な所見は、欠落しているか、
テストケースが多すぎます。
-ラジオボタン、サブ画面、遷移画面の処理など、
OJTでカバーされていないトピックが複数タスクでカバーされています。
-タスク2には5 QAがあります。
-タスク1のQAのやり取りが11/28に開始され、最終的に12/26に解決
-ファイルQAが高い:25カウント
- Most common findings are missing or too many test cases.
- Multiple task covered topic not covered in OJT such as processing radio buttons, subscreen and transition screen.
- Task 2 has 5 QA
- Task 1 QA back and forth started 11/28, finally resolved 12/26
- Filed QA is high : 25 count</t>
    </r>
  </si>
  <si>
    <t>2つの先進的な改善タスクがあります。
ジュニアメンバーですが、他のジュニアメンバーの問題解決をサポートできます。
セキュリティのPICです。
リーダーシップ能力があった
Have 2 advance Kaizen tasks.
Junior member but can support other junior members on fixing issues.
Is PIC for Security
Had leadership capabilities</t>
  </si>
  <si>
    <t xml:space="preserve">Measure: Need to endorse for 2nd evaluation upon completion of the remaining tasks to check if there is any changes in the overall performance and evaluation score. </t>
  </si>
  <si>
    <t>Kumamoto Z203280</t>
  </si>
  <si>
    <t>Kumamoto N202370</t>
  </si>
  <si>
    <t>Kumamoto Z240620</t>
  </si>
  <si>
    <t>Kumamoto N203450</t>
  </si>
  <si>
    <t>Kumamoto Z203L60</t>
  </si>
  <si>
    <t>Kumamoto Z206630</t>
  </si>
  <si>
    <t>Kumamoto Z206631</t>
  </si>
  <si>
    <t>Kumamoto Z702120</t>
  </si>
  <si>
    <t>Clarice Ivee Ragot</t>
  </si>
  <si>
    <t>Productivity: Average of 77.7% in 2 completed tasks.
Quality: 6 app errors in 3.2KS (2 completed tasks).
On-time completion rate is only 18.2%. 
Member have difficulties on finishing her assigned tasks on time.</t>
  </si>
  <si>
    <t>Problem: Due to blockers like task 5 and 6, member is having a hard time juggling task back and forth. Causing delay.
Root Cause: Task is too complex for member skill level.</t>
  </si>
  <si>
    <t>QA15件。うちPJQA6件。
主に、データに関するQAが中心で問題ない。</t>
    <phoneticPr fontId="10"/>
  </si>
  <si>
    <t>Task1:0件
Task2:4件、テストケース過多/不足、仕様書雛形の選択ミス、テストエビデンス不足
Task3:3件、構成資産一覧記入不足、単純ミス、納品資産の不足
Task4:2件、テストケース過多/不足、構成資産一覧記入不足
Task5:3件、画面編集ミス、チェックリスト記入不足、構成資産一覧記入不足
Task6:1件、テストケース過多/不足
Task7:1件、チェックリスト記入不足</t>
  </si>
  <si>
    <r>
      <rPr>
        <b/>
        <sz val="8"/>
        <rFont val="Meiryo UI"/>
        <family val="3"/>
        <charset val="128"/>
      </rPr>
      <t>Low Quality Reason</t>
    </r>
    <r>
      <rPr>
        <sz val="8"/>
        <rFont val="Meiryo UI"/>
        <family val="3"/>
        <charset val="128"/>
      </rPr>
      <t xml:space="preserve">
-タスクが非常に複雑な場合、
メンバーはシニアに少し依存します。
-一般的な所見は、OJT/KTに遭遇しないテストケースの欠落である。
- Member is a bit dependent on Seniors when task is very complex
- Common findings are Missing Test Cases which are not encountered OJT/KT.
</t>
    </r>
  </si>
  <si>
    <r>
      <t xml:space="preserve">1つの先進的な改善タスクがあります。
若手メンバーだが、大部分のメンバーより早く02/07までに大きなタスク (10) を完了することができる。
メンバーは遅れを取り戻すために残業するときは意識している。
</t>
    </r>
    <r>
      <rPr>
        <sz val="8"/>
        <color rgb="FFFF0000"/>
        <rFont val="Meiryo UI"/>
        <family val="3"/>
        <charset val="128"/>
      </rPr>
      <t>彼女の知識の誤りは、
シニアと緊密に協力することで改善</t>
    </r>
    <r>
      <rPr>
        <sz val="8"/>
        <rFont val="Meiryo UI"/>
        <family val="3"/>
        <charset val="128"/>
      </rPr>
      <t>されている。
Have 1 advance Kaizen tasks.
Junior member but Is able to finish big number of task (10) by 02/07, ahead of most members.
Member is conscious when task is about to be delayed and do overtime without the need to tell by her leaders.
Her lapse of knowledge is improving by working closely with Seniors</t>
    </r>
  </si>
  <si>
    <t>Measure: Conduct internal training from high performing members to improve her skills.</t>
  </si>
  <si>
    <t>Kumamoto N214250</t>
  </si>
  <si>
    <t>Kumamoto N214070</t>
  </si>
  <si>
    <t>Kumamoto N203M40</t>
  </si>
  <si>
    <t>Kumamoto N214230</t>
  </si>
  <si>
    <t>Kumamoto Z203270</t>
  </si>
  <si>
    <t>Kumamoto Z203MB0</t>
  </si>
  <si>
    <t>Kumamoto Z203470</t>
  </si>
  <si>
    <t>Kumamoto N284680</t>
  </si>
  <si>
    <t>Kumamoto Z284J10</t>
  </si>
  <si>
    <t>Kumamoto Z284J20</t>
  </si>
  <si>
    <t>Elaine Rodillas</t>
  </si>
  <si>
    <t>Productivity average is 125% and always hitting target
Quality is 2 app errors in 1.3KS for 6 completed task. 
Doing Team Leads tasks such as consultation, admin and reviewing tasks aside from her actual development tasks</t>
  </si>
  <si>
    <t>Problem: Member got stuck with reviewing other members tasks for her management task
Root Causes: Many task assign in spite of having management tasks.</t>
  </si>
  <si>
    <t>QA16件。うちPJQA2件。
自己解決できると思われるQAは少なく、難解なロジックやレイアウトなど出るべきQAがおおい。</t>
    <phoneticPr fontId="10"/>
  </si>
  <si>
    <t>Task1:0件
Task2:4件、テストケース過多/不足,エビデンス不足,テストケース理解不足,構成資産一覧記入不足
Task3:1件、テストケース過多/不足
Task4:5件、エビデンス不足,テストケース過多/不足
Task5:1件、エビデンス不足
Task6:0件
Task7:0件
Task8:2件、エビデンス不足,テストケース過多/不足
Task9:3件、エビデンス不足,テストケース過多/不足、テストデータ不備</t>
  </si>
  <si>
    <t>Task 2 test case scenario not in OJT/KT. Other findings due to a new rule regarding comments being changed middle of development.
Task 4 findings comes from a valid test case, but reviewer requested to add comment for a specific rule.
タスク2のテストケースシナリオがOJT/KTにありません。コメントに関する新しいルールが開発の途中で変更されたことによるその他の所見。
タスク4の結果は有効なテストケースから得られたが、レビュー担当者は特定のルールについてコメントを追加するよう要求した。</t>
  </si>
  <si>
    <t>Very thorough on checking other members tasks. Also manage to finish all 8 task before Jan 26.
他のメンバーのタスクのチェックを徹底しています。また、1月26日までに8つのタスクすべてを完了するように管理します。</t>
  </si>
  <si>
    <t xml:space="preserve">Measure: Assess Team Lead's workload taking into consideration the review and other admin tasks efforts. </t>
  </si>
  <si>
    <t>Kumamoto N203500</t>
  </si>
  <si>
    <t>Kumamoto N203860</t>
  </si>
  <si>
    <t>Kumamoto Z203M30</t>
  </si>
  <si>
    <t>Kumamoto N203740</t>
  </si>
  <si>
    <t>Kumamoto Z200090</t>
  </si>
  <si>
    <t>Kumamoto Z200091</t>
  </si>
  <si>
    <t>Kumamoto N202B20</t>
  </si>
  <si>
    <t>Kumamoto N202320</t>
  </si>
  <si>
    <t>Kumamoto N202430</t>
  </si>
  <si>
    <t>Kumamoto N202431</t>
  </si>
  <si>
    <t>Kumamoto N202330</t>
  </si>
  <si>
    <t>Ferdinand Louie Carlos</t>
    <phoneticPr fontId="10"/>
  </si>
  <si>
    <t>Productivity is 72% on one task
Quality: 10 app errors in 0.8KStep. Not meeting the target. 
On-time completion rate: 20%
Member have difficulties on finishing his assigned tasks on time.</t>
  </si>
  <si>
    <t>Problem: Member is a below average performer but due to PTEs not yet finished, scores not reflected correctly.
Root cause: Due to blockers on task 1 and 2 and 5. It causes delay on submission on PG PTS.</t>
  </si>
  <si>
    <t>QA28件。うちPJQA5件。
ロジックに関するQAがほとんどで、QAの難易度も高く問題ないがQA数が多いので、サポート負荷はあると思われる。</t>
    <phoneticPr fontId="10"/>
  </si>
  <si>
    <t>Task1:3件、単純ミス,納品資産の不足,規約違反
Task2:5件、画面編集ミス,テストケース過多/不足,構成資産一覧記入不足,納品資産の不足
Task3:7件、単純ミス,テストケース過多/不足,テストエビデンス不足,構成資産一覧記入不足,納品資産の不足
Task4:5件、構成資産一覧記入不足,テストエビデンス不足,テストケース過多/不足 
Task5:5件、単純ミス,テストエビデンス不足,テストデータ不備,テストケース過多/不足,エビデンス改善要
Task6:4件、構成資産一覧記入不足,テストケース過多/不足,単純ミス
Task7:10件、チェックリスト記入不足,単純ミス,テストケース過多/不足,画面編集ミス、テストエビデンス不足
Task8:4件、画面編集ミス、チェックリスト記入不足,テストケース過多/不足、テストエビデンス不足
Task9:1件、テストケース過多/不足</t>
  </si>
  <si>
    <r>
      <rPr>
        <b/>
        <sz val="8"/>
        <rFont val="Meiryo UI"/>
        <family val="3"/>
        <charset val="128"/>
      </rPr>
      <t xml:space="preserve">Low Quality Reason
</t>
    </r>
    <r>
      <rPr>
        <sz val="8"/>
        <rFont val="Meiryo UI"/>
        <family val="3"/>
        <charset val="128"/>
      </rPr>
      <t xml:space="preserve">
-OJTでカバーされていないタスクカバートピック (処理ラジオボタン)
-最も一般的な結果は、scobファイルのCANCELおよびORDERステートメントに関連しています。
-最終成果物のフォルダ構造の理解不足
- Task covered topic not covered in OJT (processing radio buttons)
- Most common findings are related on CANCEL and ORDER statement on scob files
- Missed understanding on folder structure of final deliverable
</t>
    </r>
  </si>
  <si>
    <r>
      <t>熊本PJ、PTEからのカイゼンの最初のタスクがレビューに提出されました。
2回目のカイゼン作業が進行中。
自己点検チェックリストの徹底によりテストケース理解が向上している。</t>
    </r>
    <r>
      <rPr>
        <sz val="8"/>
        <color rgb="FFFF0000"/>
        <rFont val="Meiryo UI"/>
        <family val="3"/>
        <charset val="128"/>
      </rPr>
      <t xml:space="preserve">
パフォーマンスの高いメンバーで、ほとんどのメンバーよりも速くタスクを送信し</t>
    </r>
    <r>
      <rPr>
        <sz val="8"/>
        <rFont val="Meiryo UI"/>
        <family val="3"/>
        <charset val="128"/>
      </rPr>
      <t>ます。しかし、彼のタスクはいつもPTEレビューでスタックしているので、彼のスコアは正しく取得されませんでした。
追加測定:
チームリーダーが自己レビューの実施を監視する。
1st task of Kaizen from Kumamoto PJ, PTE submitted for review. 
2nd Kaizen task ongoing.
Test cases understanding is improving by being thorough usage of self-review checklist.
Good performing member and submit tasks faster than most member. But his tasks always gets stucked on PTE review so his score was not captured correctly.
Additional Measure:
Team Leads to monitor his implementation of Self Review.</t>
    </r>
  </si>
  <si>
    <t>①Thorough self check
②Analysis of findings/errors/misses through QMS
③Knowledge sharing/best practices by Top Performers
④Additional technical TL to support debugging and inquries
⑥QA analysis + survey of common issues and resolution
⑦Study Session with Japan side (勉強会)</t>
  </si>
  <si>
    <t>Kumamoto N203170</t>
  </si>
  <si>
    <t/>
  </si>
  <si>
    <t>Kumamoto Z203170</t>
  </si>
  <si>
    <t>Kumamoto TK02040</t>
  </si>
  <si>
    <t>Kumamoto Z203460</t>
  </si>
  <si>
    <t>Kumamoto N203990</t>
  </si>
  <si>
    <t>Kumamoto N203400</t>
  </si>
  <si>
    <t>Kumamoto N284030</t>
  </si>
  <si>
    <t>Kumamoto JK84050</t>
  </si>
  <si>
    <t>Kumamoto JK84060</t>
  </si>
  <si>
    <t>Kumamoto PF01010</t>
  </si>
  <si>
    <t>Kumamoto Z206570</t>
  </si>
  <si>
    <t xml:space="preserve">Jaysie Ben Sanchez </t>
    <phoneticPr fontId="10"/>
  </si>
  <si>
    <t>Productivity: Average of 116% in 7 completed tasks.
Quality: 8 app errors in 1.2KStep (all completed tasks) so still meeting the target.
On-time completion rate is only 63.6%. 
Team contribution: assist other members in solving problems.</t>
  </si>
  <si>
    <t>High Performance, but last two task is blocked before (Task 9 and 11) and can affect final evaluation score.</t>
  </si>
  <si>
    <t>QA34件。うちPJQA9件。
12月までで26件出ているが、1月に入ってからは8件と少なくなっており、徐々に成長している。</t>
    <rPh sb="18" eb="19">
      <t>ガツ</t>
    </rPh>
    <rPh sb="24" eb="25">
      <t>ケン</t>
    </rPh>
    <rPh sb="25" eb="26">
      <t>デ</t>
    </rPh>
    <rPh sb="32" eb="33">
      <t>ガツ</t>
    </rPh>
    <rPh sb="34" eb="35">
      <t>ハイ</t>
    </rPh>
    <rPh sb="41" eb="42">
      <t>ケン</t>
    </rPh>
    <rPh sb="43" eb="44">
      <t>スク</t>
    </rPh>
    <rPh sb="52" eb="54">
      <t>ジョジョ</t>
    </rPh>
    <rPh sb="55" eb="57">
      <t>セイチョウ</t>
    </rPh>
    <phoneticPr fontId="10"/>
  </si>
  <si>
    <t>Task1:4件、テストケース過多/不足、テストケース理解不足、テストエビデンス不足
Task2:5件、テストケース過多/不足、テストエビデンス不足、単純ミス
Task3:5件、テストエビデンス不足、単純ミス
Task4:2件、テストケース過多/不足
Task5:1件、単純ミス
Task6:3件、テストケース過多/不足、テストケース理解不足、単純ミス
Task7:5件、テストケース過多/不足、単純ミス,構成資産一覧記入不足,、納品資産の不足
Task8:7件、テストケース過多/不足、エビデンス改善要,構成資産一覧記入不足,、納品資産の不足,画面編集ミス</t>
  </si>
  <si>
    <t>①セルフチェック、リーダレビュー(Thorough self check/Leader Review)​
②自己分析、品質改善計画の実行(Analysis of findings/errors/misses through QMS)​
③品質改善計画の分析とメンバーへの共有(Knowledge sharing/best practices by Top Performers)</t>
  </si>
  <si>
    <t>Kumamoto Z702N80</t>
  </si>
  <si>
    <t>Kumamoto N202N90</t>
  </si>
  <si>
    <t>Kumamoto Z203H70</t>
  </si>
  <si>
    <t>Kumamoto Z203H80</t>
  </si>
  <si>
    <t>Kumamoto Z702140</t>
  </si>
  <si>
    <t>Kumamoto N240640</t>
  </si>
  <si>
    <t>Kumamoto N240290</t>
  </si>
  <si>
    <t>Kumamoto N240300</t>
  </si>
  <si>
    <t>Kumamoto Z280010</t>
  </si>
  <si>
    <t>Joey Tago</t>
    <phoneticPr fontId="10"/>
  </si>
  <si>
    <t>Productivity: 37.6% productivity for only one task thus can be hard to determine.
Quality 0 findings for one task thus can be hard to determine. 
Member is struggling to finish task on time but willing to render overtime to catch up with the lack of skills.</t>
  </si>
  <si>
    <t>Problem: Member have slow progress.
Root Cause: Member lacking required skills for complex tasks</t>
  </si>
  <si>
    <t>QA14件。うちPJQA2件。
取込ファイルの提供依頼やデータに関するQAがほとんどで問題ない。</t>
    <phoneticPr fontId="10"/>
  </si>
  <si>
    <t>Task1:7件、画面編集ミス、単純ミス、エビデンス改善要、納品資産の不足
Task2:8件、画面編集ミス、テストケース過多/不足、テストエビデンス不足、納品資産の不足
Task3:5件、単純ミス、テストケース過多/不足</t>
  </si>
  <si>
    <r>
      <rPr>
        <b/>
        <sz val="8"/>
        <color rgb="FF000000"/>
        <rFont val="Meiryo UI"/>
        <family val="3"/>
        <charset val="128"/>
      </rPr>
      <t xml:space="preserve">Low Productivity Reason
</t>
    </r>
    <r>
      <rPr>
        <sz val="8"/>
        <color rgb="FF000000"/>
        <rFont val="Meiryo UI"/>
        <family val="3"/>
        <charset val="128"/>
      </rPr>
      <t xml:space="preserve">
-タスクが非常に複雑な場合、
メンバーはシニアに少し依存します。
-ファイルクライアント側のアップロードファイル、
初期フォーカスなし、遷移画面など、OJTでカバーされていないトピックがあるタスク
-QAを行ったり来たりするのに時間がかかり、
開発に余計な時間がかかる。
- Member is a bit dependent on Seniors when task is very</t>
    </r>
    <r>
      <rPr>
        <sz val="8"/>
        <color rgb="FFFF0000"/>
        <rFont val="Meiryo UI"/>
        <family val="3"/>
        <charset val="128"/>
      </rPr>
      <t xml:space="preserve"> complex
</t>
    </r>
    <r>
      <rPr>
        <sz val="8"/>
        <color rgb="FF000000"/>
        <rFont val="Meiryo UI"/>
        <family val="3"/>
        <charset val="128"/>
      </rPr>
      <t xml:space="preserve">- Some task has topic not covered in OJT such as upload file client side, no initial focus, and transition screen
- Long QA back and forth that leads to additional time of development.
</t>
    </r>
    <r>
      <rPr>
        <b/>
        <sz val="8"/>
        <color rgb="FF000000"/>
        <rFont val="Meiryo UI"/>
        <family val="3"/>
        <charset val="128"/>
      </rPr>
      <t xml:space="preserve">Low Quality Reason
</t>
    </r>
    <r>
      <rPr>
        <sz val="8"/>
        <color rgb="FF000000"/>
        <rFont val="Meiryo UI"/>
        <family val="3"/>
        <charset val="128"/>
      </rPr>
      <t xml:space="preserve">
-最も一般的な検索結果には、
GL.javaのHashTableとサブシステム名が含まれます。
・ファンクション5の修正についても誤解がある
- Most common findings include HashTable on GL.java and Subsystem name
- There are also misunderstandings on Function 5 modification</t>
    </r>
  </si>
  <si>
    <t>熊本PJからのカイゼン第1課題、最終成果物としてJGGに提出。
2回目のカイゼン作業が進行中。
この人は、残業しろと言わなくても、残業で自分の仕事を遅れを取り戻すことをいとわない。
また、日本のメンバーとのオンライントレーニングに参加し、知識を深めています。
シニアは、バッチタスクに関する実装を支援および監視します。
1st task of Kaizen from Kumamoto PJ, submitted to JGG as final deliverable. 
2nd Kaizen task ongoing.
This person is willing to catch up his task through overtime without telling him to overtime.
He is also improving in his knowledge via joining online training session with Japan members.
Additional Measure:
Senior to closely monitor and share knowledge about bug fixing the QA and blockers.</t>
  </si>
  <si>
    <t>Kumamoto Z702100</t>
  </si>
  <si>
    <t>Kumamoto Z203250</t>
  </si>
  <si>
    <t>Kumamoto Z702050</t>
  </si>
  <si>
    <t>Kumamoto N203R70</t>
  </si>
  <si>
    <t>Kumamoto N20D150</t>
  </si>
  <si>
    <t>Kumamoto Z203C20</t>
  </si>
  <si>
    <t>Kumamoto Z203210</t>
  </si>
  <si>
    <t>Kumamoto Z240Y10</t>
  </si>
  <si>
    <t>Kumamoto Z240Y11</t>
  </si>
  <si>
    <t>Kumamoto Z206M70</t>
  </si>
  <si>
    <t>Kumamoto Z284540</t>
  </si>
  <si>
    <t>John Cortez</t>
  </si>
  <si>
    <t>Productivity: 34.5% productivity for only one task thus can be hard to determine.
Quality 0 findings for one task thus can be hard to determine. Team contribution is okay since he is able to help admin tasks such as reviewing, but skills maybe lacking.</t>
  </si>
  <si>
    <t>QA13件。うちPJQA5件。
QAも少なく、出るべきQA。自己解決力が高い印象。</t>
    <phoneticPr fontId="10"/>
  </si>
  <si>
    <r>
      <rPr>
        <b/>
        <sz val="8"/>
        <rFont val="Meiryo UI"/>
        <family val="3"/>
        <charset val="128"/>
      </rPr>
      <t xml:space="preserve">Low Productivity Reason
</t>
    </r>
    <r>
      <rPr>
        <sz val="8"/>
        <rFont val="Meiryo UI"/>
        <family val="3"/>
        <charset val="128"/>
      </rPr>
      <t xml:space="preserve">Task complexity: 指導で自己解決が見込めるQAは1件、
自己解決は難しいQAは2件がった。
-複雑なタスク1のためにメンバーが遅延しました
バッチ発行時のPG1-invoke。(トレーニングでは説明しません)
・前後QA#35が11/24スタートしました。
日本の確認に依存。
FXS/JPは複数の修正を提案し、時間を消費した。最終決議は12/19に完了した (16営業日) 。
-タスク2とタスク3も並行して実行されています。
-その後、すべてのタスクが遅延しました。
- </t>
    </r>
    <r>
      <rPr>
        <sz val="8"/>
        <color rgb="FFFF0000"/>
        <rFont val="Meiryo UI"/>
        <family val="3"/>
        <charset val="128"/>
      </rPr>
      <t>Member got delayed due to complex Task 1</t>
    </r>
    <r>
      <rPr>
        <sz val="8"/>
        <rFont val="Meiryo UI"/>
        <family val="3"/>
        <charset val="128"/>
      </rPr>
      <t xml:space="preserve">
PG1-invoke on batch issue. (not discussed on training)
- Back and forth QA#35 started on 11/24.  
Dependency on Japan confirmation.
FXS/JP suggested multiple fixes and consumed time. Final resolution finished on 12/19. (16 Working days).
- Task 2 and Task 3 is also being done in parallel.
- All task got delayed afterwards.</t>
    </r>
  </si>
  <si>
    <r>
      <rPr>
        <sz val="8"/>
        <color rgb="FFFF0000"/>
        <rFont val="Meiryo UI"/>
        <family val="3"/>
        <charset val="128"/>
      </rPr>
      <t>優れたパフォーマンスを発揮し、チームリーダーが休暇中に責任を取ることができる</t>
    </r>
    <r>
      <rPr>
        <sz val="8"/>
        <rFont val="Meiryo UI"/>
        <family val="3"/>
        <charset val="128"/>
      </rPr>
      <t>。ただし、保留中のレビュータスクのため、スコアは正しくキャプチャされません。
生産性を向上させるために、メンバーはすべてのタスクのPGを進めて、ブロッカーを早期に見つける必要があります。次に、QAを待っている間に、前のタスクPTEを実行する時間を使用します。これは時間をより効率的に使うことができる。
メンバーもしっかりしていて、</t>
    </r>
    <r>
      <rPr>
        <sz val="8"/>
        <color rgb="FFFF0000"/>
        <rFont val="Meiryo UI"/>
        <family val="3"/>
        <charset val="128"/>
      </rPr>
      <t>必要に応じて残業を申告して追いつく努力をしています</t>
    </r>
    <r>
      <rPr>
        <sz val="8"/>
        <rFont val="Meiryo UI"/>
        <family val="3"/>
        <charset val="128"/>
      </rPr>
      <t>。
Good performer and can take charge when Team leaders are on leave. But score is not captured correctly due to pending review tasks.
To improve productivity, member should advance PG of all tasks so that blockers are found early on. Then while waiting for QA, use time to do previous task PTE. This makes use of the time more efficiently.
Member is also realiable and making effort to catch up by filing overtime work if needed.</t>
    </r>
  </si>
  <si>
    <t>Kumamoto Z206MB0</t>
  </si>
  <si>
    <t>Kumamoto N216110</t>
  </si>
  <si>
    <t>Kumamoto N214060</t>
  </si>
  <si>
    <t>Kumamoto Z702010</t>
  </si>
  <si>
    <t>Kumamoto N203C70</t>
  </si>
  <si>
    <t>Kumamoto N203C71</t>
  </si>
  <si>
    <t>Kumamoto N202340</t>
  </si>
  <si>
    <t>Kumamoto N203L70</t>
  </si>
  <si>
    <t>Kumamoto N202480</t>
  </si>
  <si>
    <t>Kumamoto N284040</t>
  </si>
  <si>
    <t>Kumamoto ZA03J80</t>
  </si>
  <si>
    <t>Jose Fernando Ismael</t>
  </si>
  <si>
    <t>Productivity is Average at 46% for only 3 task, lower than expected.
Quality is 0 findings for 0.6 KS.
Submitted all of tasks PG and PTS until Task 8 before 1/11 but PTE is still ongoing so it is hard to assess correctly.
Has team contribution by taking lead when their team lead is on leave.</t>
  </si>
  <si>
    <t>Problem: Member is a decent performer but score is not calculated correctly because PTE is not yet started due to waiting for PG review.
Root Cause: Member did not submit PG PTS due to early blockers</t>
  </si>
  <si>
    <t>QA18件。うちPJQA1件。
レイアウトやデータに関するQAで、ロジックに関するスキルは高い認識。</t>
    <phoneticPr fontId="10"/>
  </si>
  <si>
    <t>Task1:2件、テストケース過多/不足、テストエビデンス不足
Task2:1件、チェックリスト記入不足
Task3:2件、仕様書雛形の選択ミス、テストエビデンス不足
Task4:1件、テストケース過多/不足
Task5:1件、画面編集ミス
Task6:6件、テストケース過多/不足,テストエビデンス不足、テストケース理解不足,構成資産一覧記入不足
Task7:3件、テストケース過多/不足、テストエビデンス不足</t>
  </si>
  <si>
    <r>
      <rPr>
        <b/>
        <sz val="8"/>
        <rFont val="Meiryo UI"/>
        <family val="3"/>
        <charset val="128"/>
      </rPr>
      <t>Slow Progress Reason</t>
    </r>
    <r>
      <rPr>
        <sz val="8"/>
        <rFont val="Meiryo UI"/>
        <family val="3"/>
        <charset val="128"/>
      </rPr>
      <t xml:space="preserve">
-</t>
    </r>
    <r>
      <rPr>
        <sz val="8"/>
        <color rgb="FFFF0000"/>
        <rFont val="Meiryo UI"/>
        <family val="3"/>
        <charset val="128"/>
      </rPr>
      <t>8つのタスクだけで合計19のQA</t>
    </r>
    <r>
      <rPr>
        <sz val="8"/>
        <rFont val="Meiryo UI"/>
        <family val="3"/>
        <charset val="128"/>
      </rPr>
      <t>をファイルしました。
- QAのターンアラウンドが遅い。
-チーム内の管理タスクの支援。
- メンバーは自分の仕事をチェックするのに時間がかかりすぎて、進捗が遅くなっています。
- Filed 19 total QA with only 8 tasks.
- QA turn around is slow.
- Helping with the Admin Task within the team.
- Member takes too much time on checking his work which leads to slow progress.</t>
    </r>
  </si>
  <si>
    <t xml:space="preserve"> </t>
  </si>
  <si>
    <t>①セルフチェック、リーダレビュー(Thorough self check/Leader Review)
②自己分析、品質改善計画の実行(Analysis of findings/errors/misses through QMS)
③品質改善計画の分析とメンバーへの共有(Knowledge sharing/best practices by Top Performers)</t>
  </si>
  <si>
    <t>Kumamoto Z203MC0</t>
  </si>
  <si>
    <t>Kumamoto LJ02J20</t>
  </si>
  <si>
    <t>Kumamoto Z203570</t>
  </si>
  <si>
    <t>Kumamoto N203C10</t>
  </si>
  <si>
    <t>Kumamoto N202NF0</t>
  </si>
  <si>
    <t>Kumamoto N214030</t>
  </si>
  <si>
    <t>Kumamoto Z203D40</t>
  </si>
  <si>
    <t>Kumamoto Z203D41</t>
  </si>
  <si>
    <t>Josue Tabia</t>
  </si>
  <si>
    <t xml:space="preserve">Productivity: Average of 60.7% in 2 completed tasks. Meeting target. 
Quality: Zero app error in 0.3KStep (2 tasks) but with lots of internal findings based on the comment.
On-time completion rate is only 22.2%. 
Member is a hard worker, with only 1 leave for christmas vacation. Also extend beyond his hours everyday. </t>
  </si>
  <si>
    <t>Problem: Member is a decent performer but due to PTEs not yet finished, scores not reflected correctly.
Root cause: Due to blockers on task 2,4 and 5. It causes delay on submission on PG PTS.</t>
  </si>
  <si>
    <t>QA31件。うちPJQA4件。
初期に初歩的なQAが多く見られたが、後半は自己解決したQAもいくつかありQA数は多いが問題ない。</t>
    <phoneticPr fontId="10"/>
  </si>
  <si>
    <r>
      <rPr>
        <b/>
        <sz val="8"/>
        <color rgb="FF000000"/>
        <rFont val="Meiryo UI"/>
        <family val="3"/>
        <charset val="128"/>
      </rPr>
      <t xml:space="preserve">Low Quality Reason
</t>
    </r>
    <r>
      <rPr>
        <sz val="8"/>
        <color rgb="FF000000"/>
        <rFont val="Meiryo UI"/>
        <family val="3"/>
        <charset val="128"/>
      </rPr>
      <t xml:space="preserve">
Task complexity: 指導で自己解決が見込めるQAは2件、
</t>
    </r>
    <r>
      <rPr>
        <sz val="8"/>
        <color rgb="FFFF0000"/>
        <rFont val="Meiryo UI"/>
        <family val="3"/>
        <charset val="128"/>
      </rPr>
      <t xml:space="preserve">自己解決は難しいQAは12件がった。
</t>
    </r>
    <r>
      <rPr>
        <sz val="8"/>
        <color rgb="FF000000"/>
        <rFont val="Meiryo UI"/>
        <family val="3"/>
        <charset val="128"/>
      </rPr>
      <t xml:space="preserve">-メンバーはプロジェクトのノウハウに
ついて平均的な知識を持っている。仕事によっては、他の人の助けが必要かもしれません。
-最も一般的な所見は、検査エビデンスの欠如である。
-もう1つの一般的な検出は、DBシートの更新/登録/削除です。
-メンバのQAカウントが高い:32
- Member has an average knowledge on project know how. Depending on task, he might need help from others.
- Most common findings are Lack of Test Evidence
- Another common finding is DB sheet update/register/delete
- Member has high count of QA : 32
</t>
    </r>
  </si>
  <si>
    <r>
      <t>メンバーは、他のメンバーから提供されたPT Evidenceのサンプルを参照して、自分の質を向上させています。</t>
    </r>
    <r>
      <rPr>
        <sz val="8"/>
        <color rgb="FFFF0000"/>
        <rFont val="Meiryo UI"/>
        <family val="3"/>
        <charset val="128"/>
      </rPr>
      <t xml:space="preserve">
メンバーはしっかりしていて、必要に応じて残業を申告して追いつく努力をしています。
先輩たちが彼をよく観察しているので、彼の知識の誤りは改善されつつある</t>
    </r>
    <r>
      <rPr>
        <sz val="8"/>
        <rFont val="Meiryo UI"/>
        <family val="3"/>
        <charset val="128"/>
      </rPr>
      <t>。
追加測定:
チームリーダーが自己レビューの実施を監視する。
Member is improving his quality by referring to sample PT Evidence provided by other members.
Member is realiable and making effort to catch up by filing overtime work if needed.
His lapse of knowledge is improving by seniors closely monitoring him.
Additional Measure:
Team Leads to monitor his implementation of Self Review.</t>
    </r>
  </si>
  <si>
    <t>Kumamoto Z203MA0</t>
  </si>
  <si>
    <t>Kumamoto N206560</t>
  </si>
  <si>
    <t>Kumamoto N2L1T40</t>
  </si>
  <si>
    <t>Kumamoto N2L1T41</t>
  </si>
  <si>
    <t>Kumamoto Z2A3MG0</t>
  </si>
  <si>
    <t>Kumamoto Z206520</t>
  </si>
  <si>
    <t>Kumamoto Z206500</t>
  </si>
  <si>
    <t>Kumamoto N202490</t>
  </si>
  <si>
    <t>Kumamoto N202491</t>
  </si>
  <si>
    <t>Kate Dipon</t>
  </si>
  <si>
    <t xml:space="preserve">Productivity: Average of 45% in 3 completed tasks. Not meeting target. 
Quality: Zero app error in 0.4KStep (3 tasks) but needs support from top performers.
On-time completion rate is only 20%. </t>
  </si>
  <si>
    <t>QA15件。うちPJQA0件。
QAも少なく、データ起因のQAがほとんど。問題ない。</t>
    <phoneticPr fontId="10"/>
  </si>
  <si>
    <r>
      <rPr>
        <b/>
        <sz val="8"/>
        <rFont val="Meiryo UI"/>
        <family val="3"/>
        <charset val="128"/>
      </rPr>
      <t>Low Productivity Reason</t>
    </r>
    <r>
      <rPr>
        <sz val="8"/>
        <rFont val="Meiryo UI"/>
        <family val="3"/>
        <charset val="128"/>
      </rPr>
      <t xml:space="preserve">
</t>
    </r>
    <r>
      <rPr>
        <sz val="8"/>
        <color rgb="FFFF0000"/>
        <rFont val="Meiryo UI"/>
        <family val="3"/>
        <charset val="128"/>
      </rPr>
      <t xml:space="preserve">Task complexity: 指導で自己解決が見込めるQAは2件、
自己解決は難しいQAは1件がった。
</t>
    </r>
    <r>
      <rPr>
        <sz val="8"/>
        <rFont val="Meiryo UI"/>
        <family val="3"/>
        <charset val="128"/>
      </rPr>
      <t xml:space="preserve">
-タブ処理条件など、OJTでカバーされないタスクを含む
-PGタスク・レビュー時間が長くなります。たとえば、タスク3 PGは6営業日で完了しました。
- Contains task not covered in OJT such as Tab processing condition
- PG Task Review time is longer, for example Task 3 PG completed 6 working days  
</t>
    </r>
    <r>
      <rPr>
        <b/>
        <sz val="8"/>
        <rFont val="Meiryo UI"/>
        <family val="3"/>
        <charset val="128"/>
      </rPr>
      <t>Low Quality Reason</t>
    </r>
    <r>
      <rPr>
        <sz val="8"/>
        <rFont val="Meiryo UI"/>
        <family val="3"/>
        <charset val="128"/>
      </rPr>
      <t xml:space="preserve">
-一般的な所見はエビデンスの欠落から生じる。
-ListenerやsetErrorbackgroundなどのpteシートの
トピックに関する誤解。
- Common findings come from missing evidences.
- Misunderstanding on topics on pte sheets such as Listener and setErrorbackground.
</t>
    </r>
  </si>
  <si>
    <r>
      <rPr>
        <sz val="8"/>
        <color rgb="FFFF0000"/>
        <rFont val="Meiryo UI"/>
        <family val="3"/>
        <charset val="128"/>
      </rPr>
      <t xml:space="preserve">
</t>
    </r>
    <r>
      <rPr>
        <sz val="8"/>
        <rFont val="Meiryo UI"/>
        <family val="3"/>
        <charset val="128"/>
      </rPr>
      <t>1つのオンタイム改善タスク。</t>
    </r>
    <r>
      <rPr>
        <sz val="8"/>
        <color rgb="FFFF0000"/>
        <rFont val="Meiryo UI"/>
        <family val="3"/>
        <charset val="128"/>
      </rPr>
      <t xml:space="preserve">
パフォーマンスの高いメンバーで、ほとんどのメンバーよりも速くタスクを提出しました</t>
    </r>
    <r>
      <rPr>
        <sz val="8"/>
        <rFont val="Meiryo UI"/>
        <family val="3"/>
        <charset val="128"/>
      </rPr>
      <t>。しかし、彼女のタスクはいつもPTEレビューで止まってしまうので、彼女のスコアは正しく取得されませんでした。
シニアがPTEの知識を注意深く監視することで、彼女のパフォーマンスは向上しています。
生産性を向上させるために、メンバーはすべてのタスクのPGを進めて、ブロッカーを早期に見つける必要があります。次に、QAを待っている間に、前のタスクPTEを実行する時間を使用します。これは時間をより効率的に使うことができる。
1 on time Kaizen task.
Good performing member and submit tasks faster than most member. But her tasks always gets stucked on PTE review so her score was not captured correctly.
Her performance is improving by having Seniors closely monitor her knowledge on PTE.
To improve productivity, member should advance PG of all tasks so that blockers are found early on. Then while waiting for QA, use time to do previous task PTE. This makes use of the time more efficiently.</t>
    </r>
  </si>
  <si>
    <t>Kumamoto Z202MF0</t>
  </si>
  <si>
    <t>Kumamoto Z2K3M20</t>
  </si>
  <si>
    <t>Kumamoto Z203I40</t>
  </si>
  <si>
    <t>Kumamoto Z206730</t>
  </si>
  <si>
    <t>Kumamoto ZA84520</t>
  </si>
  <si>
    <t>Kumamoto ZA84510</t>
  </si>
  <si>
    <t>Kumamoto N240360</t>
  </si>
  <si>
    <t>Kelly Budol</t>
  </si>
  <si>
    <t>Productivity: Average of 94% in 5 completed tasks. Above target. 
Quality: 21 app error in 8.8KStep (5 tasks). Meeting quality target (average of 2.3 app error per KStep).
On-time completion rate is 71.4%. 
Team Contribution is very high and is able to teach other members about solving their problems</t>
  </si>
  <si>
    <t>Problem: Member is a good performer, but score did not reflect it correctly. 
Root cause: Last two PTE was not created due to its PG PTS review took 7 days and counting of waiting time. Thus these two task did not reflect in the score.</t>
  </si>
  <si>
    <t>QA11件。うちPJQA2件。
一部自己解決可能なQAも含まれている。</t>
    <rPh sb="16" eb="24">
      <t>イチブジコカイケツカノウ</t>
    </rPh>
    <rPh sb="28" eb="29">
      <t>フク</t>
    </rPh>
    <phoneticPr fontId="10"/>
  </si>
  <si>
    <t>Task1:7件、テストケース過多/不足、画面編集ミス、単純ミス、テストケース理解不足、テストエビデンス不足
Task2:4件、テストケース過多/不足、テストケース理解不足
Task3:6件、テストケース過多/不足、テストケース理解不足、単純ミス,構成資産一覧記入不足
Task4:3件、テストケース理解不足、単純ミス
Task5:9件、テストケース過多/不足、単純ミス、テストエビデンス不足、納品資産の不足</t>
  </si>
  <si>
    <t>Kumamoto Z202ND0</t>
  </si>
  <si>
    <t>Kumamoto Z202ND1</t>
  </si>
  <si>
    <t>Kumamoto Z203MV0</t>
  </si>
  <si>
    <t>Kumamoto N203R90</t>
  </si>
  <si>
    <t>Kumamoto N203720</t>
  </si>
  <si>
    <t>Kumamoto N240310</t>
  </si>
  <si>
    <t>Kumamoto N240311</t>
  </si>
  <si>
    <t>Kevin Yu</t>
  </si>
  <si>
    <t>Productivity &amp; Quality: Tasks not completed yet hence no score. 
On-time completion rate: 0%
But member has a bit of team contribution by organizing team when team lead is on leave. But skill is lacking for complex tasks, especially tasks that are expected from him as a Mid.</t>
  </si>
  <si>
    <t>Problem: Member have slow progress.
Root Cause: Task is lacking required Mid developer skills</t>
  </si>
  <si>
    <t>QA22件。うちPJQA2件。
ロジックに関するQAがほとんど。一部初歩的なQAも見られる（資産移動もれなど）</t>
    <phoneticPr fontId="10"/>
  </si>
  <si>
    <t>Task1:4件、画面編集ミス、テストケース過多/不足、納品資産の不足,構成資産一覧記入不足</t>
  </si>
  <si>
    <r>
      <rPr>
        <b/>
        <sz val="8"/>
        <rFont val="Meiryo UI"/>
        <family val="3"/>
        <charset val="128"/>
      </rPr>
      <t>Slow Progress Reason</t>
    </r>
    <r>
      <rPr>
        <sz val="8"/>
        <rFont val="Meiryo UI"/>
        <family val="3"/>
        <charset val="128"/>
      </rPr>
      <t xml:space="preserve">
-メンバーに最初に優先順位付けの問題がある
-PG 1は</t>
    </r>
    <r>
      <rPr>
        <sz val="8"/>
        <color rgb="FFFF0000"/>
        <rFont val="Meiryo UI"/>
        <family val="3"/>
        <charset val="128"/>
      </rPr>
      <t>複雑なタスク</t>
    </r>
    <r>
      <rPr>
        <sz val="8"/>
        <rFont val="Meiryo UI"/>
        <family val="3"/>
        <charset val="128"/>
      </rPr>
      <t xml:space="preserve">です。70個のcobolファイル。(OJTは4ファイルのみ) 不足している30ファイル9 QAを上げました。
-PG 2にタブパネルの問題がある
 (トレーニングでは説明されていない) 。
- Member initially has problem with prioritization
- PG1 is complex task. 70 cobol files. (OJT is only 4 files) with missing 30 files.9 QA raised. 
- PG2 has tab panel issue (not discussed on training).
</t>
    </r>
  </si>
  <si>
    <t>優先順位付けに関するメンバーの問題は1月から改善された。
2カイゼン作業が進んだ。
メンバーは、小さなチームを管理するリーダーシップスキルを持っています。
彼の知識の欠落は、日本からの複数回のQAセッションによって修正されます。
追加測定:
チームリーダーが自己レビューの実施を監視する。
シニアはQAとブロッカーのバグ修正を注意深く監視し、知識を共有する。
Members problem on prioritization has been improved since January.
2 Kaizen task advanced.
Member has leadership skill to manage smaller team.
His lapse of knowledge is fixed by multiple QA Session from Japan.
Additional Measure:
Team Leads to monitor his implementation of Self Review.
Senior to closely monitor and share knowledge about bug fixing the QA and blockers.</t>
  </si>
  <si>
    <t>Kumamoto N203370</t>
  </si>
  <si>
    <t>Kumamoto TK02030</t>
  </si>
  <si>
    <t>Kumamoto N202H40</t>
  </si>
  <si>
    <t>Kumamoto N203120</t>
  </si>
  <si>
    <t>Kumamoto N240110</t>
  </si>
  <si>
    <t>Kumamoto N240140</t>
  </si>
  <si>
    <t>Marco Reanzares</t>
  </si>
  <si>
    <t xml:space="preserve">Productivity: Average of 66.7% in 2 completed tasks. Meeting target. 
Quality: 4 app error in 0.3KStep (2 tasks). Not meeting quality target.
On-time completion rate is 25% only. 
Doing Team Leads tasks such as consultation, admin and reviewing tasks aside from his actual development tasks
He is also consolidating teams risk and affected manhours. </t>
  </si>
  <si>
    <t>Problem: Member got stuck with reviewing other members tasks for her management task. Also, Task 2 and 5 is blocked Dec 5, but only answered Jan 25, almost two months)
Root Causes: Many task assign in spite of having management tasks.Tasks resolved, last few days of the development.</t>
  </si>
  <si>
    <t>QA16件。うちPJQA3件。
QAも少なく、データ起因のQAがほとんど。問題ない。</t>
    <phoneticPr fontId="10"/>
  </si>
  <si>
    <t>Task1:4件、テストケース理解不足,構成資産一覧記入不足,チェックリスト記入不足
Task2:2件、テストケース過多/不足、エビデンス改善要
Task3:2件、単純ミス、テストエビデンス不足</t>
  </si>
  <si>
    <r>
      <rPr>
        <b/>
        <sz val="8"/>
        <rFont val="Meiryo UI"/>
        <family val="3"/>
        <charset val="128"/>
      </rPr>
      <t>Low Quality Reason</t>
    </r>
    <r>
      <rPr>
        <sz val="8"/>
        <rFont val="Meiryo UI"/>
        <family val="3"/>
        <charset val="128"/>
      </rPr>
      <t xml:space="preserve">
-OJT/KTでカバーされていないテストケースを欠く最も一般的な所見。
-メンバーはレビューのワークロードが大きく、タスクに優先順位を付けていません。
- Most common findings missing test cases not covered in OJT/KT.
- Member has large workload of review and not prioritizing his task.</t>
    </r>
  </si>
  <si>
    <t>優れたリーダーとレビューのスキルを持つ高パフォーマンスのTLが、彼のタスクが最近解決されたため、スコアが正しくキャプチャされていません。その時点で、彼はすでに迅速に完了するためのレビューのボトルネックを持っています。
すでに対応策があり、レビューにより重点を置くためにワークロードを削減する計画があります。
改善タスクの開始日は、レビューのボトルネックを軽減するために、来週までに開始するように調整されます。
High Performing TL with good leading and reviewing skills, but score is not captured correctly because his task is recently resolved and by that time, he already has bottleneck on review to accomplish quickly.
Already has countermeasure and plan to reduce workload to focus more on Review.
The start date of Kaizen tasks are adjusted to start by next week to reduce bottleneck of reviews.</t>
  </si>
  <si>
    <t>Kumamoto Z203Z30</t>
  </si>
  <si>
    <t>Kumamoto N203070</t>
  </si>
  <si>
    <t>Kumamoto N202660</t>
  </si>
  <si>
    <t>Kumamoto N202VU0</t>
  </si>
  <si>
    <t>Kumamoto Z202790</t>
  </si>
  <si>
    <t>Kumamoto N202M50</t>
  </si>
  <si>
    <t>Kumamoto N202M70</t>
  </si>
  <si>
    <t>Kumamoto N284041</t>
  </si>
  <si>
    <t>Ramon Lorenzo Lotivio</t>
  </si>
  <si>
    <t>Productivity: Average of 68.1% in 2 completed tasks. Meeting target. 
Quality: 0 app error in 0.4KStep (2 tasks). 
On-time completion rate is 18.2% only. 
Member completed all of tasks PG PTS before 1/19 including finished review from FXS. Only PTE tasks are remaining.</t>
  </si>
  <si>
    <t>Problem: Member is a good performer, but score did not reflect it correctly. 
Root cause: Member submitted all PG and PTS until task 11, but review time took long and cant start PTE.</t>
  </si>
  <si>
    <t>QA37件。うちPJQA4件。
12月までで24件出ているが、1月に入ってからは13件となっている。</t>
    <phoneticPr fontId="10"/>
  </si>
  <si>
    <t>Task1:2件、テストケース過多/不足、テストケース理解不足
Task2:1件、テストエビデンス不足
Task3:6件、テストケース過多/不足、テストケース理解不足,テストエビデンス不足
Task4:2件、テストケース過多/不足
Task5:1件、テストケース過多/不足
Task6:3件、テストケース過多/不足,テストエビデンス不足
Task7:2件、テストケース理解不足
Task8:2件、テストケース過多/不足
Task9:4件、テストケース過多/不足、テストケース理解不足</t>
  </si>
  <si>
    <t>Kumamoto Z702090</t>
  </si>
  <si>
    <t>Kumamoto Z203080</t>
  </si>
  <si>
    <t>Kumamoto ZA03H00</t>
  </si>
  <si>
    <t>Kumamoto N202780</t>
  </si>
  <si>
    <t>Kumamoto N214180</t>
  </si>
  <si>
    <t>Kumamoto N202VV0</t>
  </si>
  <si>
    <t>Kumamoto Z240250</t>
  </si>
  <si>
    <t>Kumamoto N240330</t>
  </si>
  <si>
    <t>Kumamoto Z240150</t>
  </si>
  <si>
    <t>Kumamoto Z206610</t>
  </si>
  <si>
    <t>Randy Dominguez</t>
  </si>
  <si>
    <t>Productivity: Average of 66.5% in 4 completed tasks. Meeting target. 
Quality: 0 app error in 1.2KStep (4 tasks). Above target.
On-time completion rate is 40%. 
Team Contribution is high due to supporting low performing members PG.</t>
  </si>
  <si>
    <t>Problem: Member is a good performer, but score did not reflect it correctly. 
Root cause: Member submitted all PG and PTS until task 7, but his task 7 is blocked for a long period of time, causing the last week delay.</t>
  </si>
  <si>
    <t>QA13件。うちPJQA4件。
QAも少なく、出るべきQA。自己解決力が高い印象。</t>
    <phoneticPr fontId="10"/>
  </si>
  <si>
    <t>Task1:7件、テストケース過多/不足、画面編集ミス、テストエビデンス不足、仕様書雛形の選択ミス、納品資産の不足
Task2:8件、テストケース過多/不足、単純ミス,画面編集ミス、構成資産一覧記入不足、エビデンス改善要
Task3:3件、テストエビデンス不足、単純ミス
Task4:6件、テストケース過多/不足、単純ミス、仕様書雛形の選択ミス,構成資産一覧記入不足
Task5:3件、テストケース過多/不足、画面編集ミス
Task6:1件、テストケース過多/不足</t>
  </si>
  <si>
    <r>
      <rPr>
        <b/>
        <sz val="8"/>
        <rFont val="Meiryo UI"/>
        <family val="3"/>
        <charset val="128"/>
      </rPr>
      <t>Low Quality Reason</t>
    </r>
    <r>
      <rPr>
        <sz val="8"/>
        <rFont val="Meiryo UI"/>
        <family val="3"/>
        <charset val="128"/>
      </rPr>
      <t xml:space="preserve">
-最も一般的な所見は、OJT/KTがカバーされていないテストケースの欠落である。
-scobファイル内のすべてのCALLステートメントでCANCELが欠落していることに関する理解不足。
-V 3で非表示または表示するファンクションボタンに関する理解不足。
- Most common findings are missing test cases not covered OJT/KT.
- Missed understanding regarding Missing CANCEL in every CALL statements in scob file.
- Missed understanding regarding Function buttons that should be hidden or displayed in V3.
</t>
    </r>
  </si>
  <si>
    <t>ジュニアメンバーですが、他のジュニアメンバーの問題解決をサポートできます。
リーダーシップ能力を持っていた。
熊本PJ、PTEからのカイゼンの最初のタスクがレビューに提出されました。
2回目のカイゼン作業が進行中。
古いサンプルタスクや他のメンバーのPTを勉強することで、テストケースの知識の欠落は改善されつつある。
Junior member but can support other junior members on fixing issues.
Had leadership capabilities.
1st task of Kaizen from Kumamoto PJ, PTE submitted for review. 
2nd Kaizen task ongoing.
His lapse on knowledge on test cases is improving by studying old sample tasks and other members PT.</t>
  </si>
  <si>
    <t>Kumamoto Z202MG0</t>
  </si>
  <si>
    <t>Kumamoto Z203220</t>
  </si>
  <si>
    <t>Kumamoto Z203Z40</t>
  </si>
  <si>
    <t>Kumamoto Z240610</t>
  </si>
  <si>
    <t>Kumamoto Z203A50</t>
  </si>
  <si>
    <t>Kumamoto Z203G80</t>
  </si>
  <si>
    <t>Kumamoto Z203G90</t>
  </si>
  <si>
    <t>Kumamoto N240210</t>
  </si>
  <si>
    <t>Kumamoto N240211</t>
  </si>
  <si>
    <t>Kumamoto Z284530</t>
  </si>
  <si>
    <t>Raven Vince Jarangan</t>
  </si>
  <si>
    <t>Productivity is 77% for only one task so
it is hard to determine.
Quality is 0 findings on 0.1KS for only one task so it is hard to determine.
Member can only finish a some of his task with help from others, thus lacking knowledge.</t>
  </si>
  <si>
    <t>Problem: Member's productivity is poor
Cause: Lacks know how knowledge and the willingness to learn. (Previously a Sankaku Member is OJT)
Root Cause: Member skill not fit for this type of project</t>
  </si>
  <si>
    <t>Kumamoto N203G50</t>
  </si>
  <si>
    <t>Kumamoto Z702030</t>
  </si>
  <si>
    <t>Kumamoto N203440</t>
  </si>
  <si>
    <t>Kumamoto N206530</t>
  </si>
  <si>
    <t>Kumamoto N202580</t>
  </si>
  <si>
    <t>Kumamoto Z203030</t>
  </si>
  <si>
    <t>Kumamoto Z203031</t>
  </si>
  <si>
    <t>Rchiebal Alberr Villafranca</t>
    <phoneticPr fontId="10"/>
  </si>
  <si>
    <t xml:space="preserve">Productivity: Average of 35.2% in 2 completed tasks. Not acceptable. 
Quality: 0 app error in 0.4KStep (2 tasks) but need support from other members.
On-time completion rate is 25%. </t>
  </si>
  <si>
    <t>QA27件。うちPJQA3件。
V3動作（データ）に関するQAがほとんどで問題ないがQA数が多いので、サポート負荷はあると思われる。</t>
    <phoneticPr fontId="10"/>
  </si>
  <si>
    <t>Task1:11件、テストケース過多/不足、単純ミス、納品資産の不足、テストエビデンス不足
Task2:7件、画面編集ミス、テストケース過多/不足、単純ミス、納品資産の不足
Task3:8件、画面編集ミス、テストケース過多/不足、テストエビデンス不足、エビデンス改善要
Task4:4件、テストケース過多/不足、単純ミス</t>
  </si>
  <si>
    <r>
      <rPr>
        <b/>
        <sz val="8"/>
        <color rgb="FF000000"/>
        <rFont val="Meiryo UI"/>
        <family val="3"/>
        <charset val="128"/>
      </rPr>
      <t xml:space="preserve">Low Productivity Reason
</t>
    </r>
    <r>
      <rPr>
        <sz val="8"/>
        <color rgb="FF000000"/>
        <rFont val="Meiryo UI"/>
        <family val="3"/>
        <charset val="128"/>
      </rPr>
      <t xml:space="preserve">
</t>
    </r>
    <r>
      <rPr>
        <sz val="8"/>
        <color rgb="FFFF0000"/>
        <rFont val="Meiryo UI"/>
        <family val="3"/>
        <charset val="128"/>
      </rPr>
      <t xml:space="preserve">Task complexity: 指導で自己解決が見込めるQAは3件、
自己解決は難しいQAは6件がった。
</t>
    </r>
    <r>
      <rPr>
        <sz val="8"/>
        <color rgb="FF000000"/>
        <rFont val="Meiryo UI"/>
        <family val="3"/>
        <charset val="128"/>
      </rPr>
      <t xml:space="preserve">
-タスクが非常に複雑な場合、メンバーはシニアに少し依存します。
-移行タスクがOJTでカバーされていない
-タスク2 (QAが9)
-タスク6の最初のQAは1/10、最後のQAは2/13で解決されました。
-メンバのQAカウントが高い:28
- Member is a bit dependent on Seniors when task is very complex
- Transition tasks was not covered on OJT
- Task 2 with 9 QA
- Task 6 has first QA is 1/10, last QA resolved at 2/13
- Member had high count of QA: 28
</t>
    </r>
    <r>
      <rPr>
        <b/>
        <sz val="8"/>
        <color rgb="FF000000"/>
        <rFont val="Meiryo UI"/>
        <family val="3"/>
        <charset val="128"/>
      </rPr>
      <t xml:space="preserve">Low Quality Reason
</t>
    </r>
    <r>
      <rPr>
        <sz val="8"/>
        <color rgb="FF000000"/>
        <rFont val="Meiryo UI"/>
        <family val="3"/>
        <charset val="128"/>
      </rPr>
      <t>-この人はWebdesignerの
エラーやバッチのテストデータに関する知識が不足しています。
-この人はグリッドデータに関する知識が不足しています。
- This person has lapse on knowledge regarding Webdesigner errors and test data on batch.
- This person has lapse on knowledge regarding grid data.</t>
    </r>
  </si>
  <si>
    <t>この人は、残業しろと言わなくても、残業で自分の仕事を遅れを取り戻すことをいとわない。
また、日本のメンバーとのオンライントレーニングに参加し、知識を深めています。
また、先輩が密に連携することで、バッチ、テストデータ、グリッドに関する知識を向上させています。
更新:
プロジェクトで標準KPIを達成していないために解放されるメンバー。
This person is willing to catch up his task through overtime without telling him to overtime.
He is also improving in his knowledge via joining online training session with Japan members.
Seniors is also improving his knowledge regarding batch, test data and grid by closely working together.
Update:
Member to be relesed due to not attaining standard KPI in the project.</t>
  </si>
  <si>
    <t>Measure: Conduct internal training from high performing members to improve his skills.</t>
  </si>
  <si>
    <t>Kumamoto ZA03E00</t>
  </si>
  <si>
    <t>Kumamoto Z240600</t>
  </si>
  <si>
    <t>Kumamoto Z202M10</t>
  </si>
  <si>
    <t>Kumamoto Z203M80</t>
  </si>
  <si>
    <t>Kumamoto Z203480</t>
  </si>
  <si>
    <t>Kumamoto N250510</t>
  </si>
  <si>
    <t>Kumamoto N240410</t>
  </si>
  <si>
    <t>Kumamoto N240411</t>
  </si>
  <si>
    <t>William Wallace Bautista</t>
    <phoneticPr fontId="10"/>
  </si>
  <si>
    <t>Productivity &amp; Quality: Tasks not completed yet hence no score.
Member submitted all PG and PTS by 1/19
Member also support other members PG on his free time.</t>
  </si>
  <si>
    <t>Problem: Member is a good performer, but score did not reflect it correctly. 
Root cause: Member submitted PG and PTS, but due to blockers on task 1 and 2 earlier, it causes delay on succeeding tasks. PTE1 is still on blocker at the moment.</t>
  </si>
  <si>
    <t>QA16件。うちPJQA2件。
ほとんどがレベルの高いロジックQAであり、問題ない。</t>
    <phoneticPr fontId="10"/>
  </si>
  <si>
    <t>Task1:5件、構成資産一覧記入不足,テストケース過多/不足,テストケース理解不足
Task2:3件、画面編集ミス,テストケース過多/不足,単純ミス
Task3:2件、テストケース過多/不足,テストエビデンス不足
Task4:1件、テストケース理解不足
Task5:3件、テストエビデンス不足,テストケース理解不足,単純ミス</t>
  </si>
  <si>
    <r>
      <rPr>
        <b/>
        <sz val="8"/>
        <color rgb="FF000000"/>
        <rFont val="Meiryo UI"/>
        <family val="3"/>
        <charset val="128"/>
      </rPr>
      <t xml:space="preserve">Low Productivity Reason
</t>
    </r>
    <r>
      <rPr>
        <sz val="8"/>
        <color rgb="FF000000"/>
        <rFont val="Meiryo UI"/>
        <family val="3"/>
        <charset val="128"/>
      </rPr>
      <t xml:space="preserve">
</t>
    </r>
    <r>
      <rPr>
        <sz val="8"/>
        <color rgb="FFFF0000"/>
        <rFont val="Meiryo UI"/>
        <family val="3"/>
        <charset val="128"/>
      </rPr>
      <t xml:space="preserve">Task complexity: 指導で自己解決が見込めるQAは3件、
自己解決は難しいQAは2件がった。
</t>
    </r>
    <r>
      <rPr>
        <sz val="8"/>
        <color rgb="FF000000"/>
        <rFont val="Meiryo UI"/>
        <family val="3"/>
        <charset val="128"/>
      </rPr>
      <t xml:space="preserve">
-メンバーはQasの長い前後を持っています。
-タスク9は最後の1/29に提出され、今日まで未解決
-タスク2には6つのQAが含まれています。
- Member has long back and forth of Qas.
- Task 9 filed last 1/29 and has not been resolved until today
- Task 2 contains 6 QAs
</t>
    </r>
    <r>
      <rPr>
        <b/>
        <sz val="8"/>
        <color rgb="FF000000"/>
        <rFont val="Meiryo UI"/>
        <family val="3"/>
        <charset val="128"/>
      </rPr>
      <t xml:space="preserve">
Low Quality Reason
</t>
    </r>
    <r>
      <rPr>
        <sz val="8"/>
        <color rgb="FF000000"/>
        <rFont val="Meiryo UI"/>
        <family val="3"/>
        <charset val="128"/>
      </rPr>
      <t xml:space="preserve">
-ジャーナルファイルと桁の構成に関する理解不足
-テストケースのターゲットについての理解不足もあります。
- Missed understanding on journal file and digit configuration
- There are also missed understanding on test cases targets.
</t>
    </r>
  </si>
  <si>
    <r>
      <rPr>
        <sz val="8"/>
        <color rgb="FF000000"/>
        <rFont val="Meiryo UI"/>
        <family val="3"/>
        <charset val="128"/>
      </rPr>
      <t>1つのカイゼン作業が進みました。
ジュニアメンバーですが、他のジュニアメンバーの問題解決をサポートできます。
リーダーシップ能力を持っていた。
自己点検チェックリストの徹底によりテストケース理解が向上している。
1 kaizen task advanced.
Junior member but can support other junior members on fixing issues.
Had</t>
    </r>
    <r>
      <rPr>
        <sz val="8"/>
        <color rgb="FFFF0000"/>
        <rFont val="Meiryo UI"/>
        <family val="3"/>
        <charset val="128"/>
      </rPr>
      <t xml:space="preserve"> leadership capabilities.
</t>
    </r>
    <r>
      <rPr>
        <sz val="8"/>
        <color rgb="FF000000"/>
        <rFont val="Meiryo UI"/>
        <family val="3"/>
        <charset val="128"/>
      </rPr>
      <t xml:space="preserve">Test cases understanding is improving by being thorough usage of self-review checklist.
</t>
    </r>
  </si>
  <si>
    <t>Measure: Wait for PTE tasks in order assess correctly.</t>
  </si>
  <si>
    <t>Kumamoto Z203110</t>
  </si>
  <si>
    <t>⇒2024/2/27 Change to Pass(Hirata)</t>
  </si>
  <si>
    <t>Kumamoto Z203111</t>
  </si>
  <si>
    <t>Kumamoto Z203ML0</t>
  </si>
  <si>
    <t>Kumamoto N203160</t>
  </si>
  <si>
    <t>Kumamoto Z203160</t>
  </si>
  <si>
    <t>Kumamoto Z240280</t>
  </si>
  <si>
    <t>Kumamoto Z284520</t>
  </si>
  <si>
    <t>Torres, R-Jay Carl</t>
  </si>
  <si>
    <t>Sr</t>
    <phoneticPr fontId="10"/>
  </si>
  <si>
    <t>Productivity: 64.1% in 1 completed task. Meeting target. 
Quality: 0 app error in 0.034 Kstep task. 
It is hard to determine due to only one task is finished. Member skill is good base on OJT phase, but lacks Senior level management skills.</t>
  </si>
  <si>
    <t>Problem: Members Tasks 2 is always blocked and not been resolved even after 1/19
Task 3 is dependent on task 2. So half of the task is unfinished.
Root Cause Analysis: Task assigned is not prepared correctly</t>
  </si>
  <si>
    <t>QA11件。うちPJQA1件。
ロジックに関するQA(タブ）が多いが、複雑な画面を割り当てたのと、QAの質を見ても出るべきQAである。問題ない。</t>
    <phoneticPr fontId="10"/>
  </si>
  <si>
    <t>Task1:0件</t>
  </si>
  <si>
    <r>
      <rPr>
        <b/>
        <sz val="8"/>
        <rFont val="Meiryo UI"/>
        <family val="3"/>
        <charset val="128"/>
      </rPr>
      <t xml:space="preserve">Low Productivity Reason
</t>
    </r>
    <r>
      <rPr>
        <sz val="8"/>
        <rFont val="Meiryo UI"/>
        <family val="3"/>
        <charset val="128"/>
      </rPr>
      <t xml:space="preserve">
</t>
    </r>
    <r>
      <rPr>
        <sz val="8"/>
        <color rgb="FFFF0000"/>
        <rFont val="Meiryo UI"/>
        <family val="3"/>
        <charset val="128"/>
      </rPr>
      <t xml:space="preserve">Task complexity: 指導で自己解決が見込めるQAは4件、
自己解決は難しいQAは2件がった。
</t>
    </r>
    <r>
      <rPr>
        <sz val="8"/>
        <rFont val="Meiryo UI"/>
        <family val="3"/>
        <charset val="128"/>
      </rPr>
      <t xml:space="preserve">
-タスク件数が4の充足QA合計は11です。
-PG 1は、タスク4以外のすべてのタスクに依存しています。
-タスク2とタスク3には、
依存関係の問題以外にも多くの障害があります。
-</t>
    </r>
    <r>
      <rPr>
        <sz val="8"/>
        <color rgb="FFFF0000"/>
        <rFont val="Meiryo UI"/>
        <family val="3"/>
        <charset val="128"/>
      </rPr>
      <t>タスク2のみで11のQAが7つ</t>
    </r>
    <r>
      <rPr>
        <sz val="8"/>
        <rFont val="Meiryo UI"/>
        <family val="3"/>
        <charset val="128"/>
      </rPr>
      <t xml:space="preserve">あります。
- Total QA filled is 11 for a 4 task count
- PG1 is a dependency on all of his tasks aside from task 4
- Task 2 and Task 3 has a lot of blockers aside from the dependency issue.
- Task 2 alone has 7 QA out of 11
</t>
    </r>
  </si>
  <si>
    <r>
      <rPr>
        <sz val="8"/>
        <color rgb="FFFF0000"/>
        <rFont val="Meiryo UI"/>
        <family val="3"/>
        <charset val="128"/>
      </rPr>
      <t>適応力が非常に早いハイパフォーマンスなシニア。彼は追加メンバーだが、ほとんどのメンバーよりも良いパフォーマンスをする</t>
    </r>
    <r>
      <rPr>
        <sz val="8"/>
        <rFont val="Meiryo UI"/>
        <family val="3"/>
        <charset val="128"/>
      </rPr>
      <t xml:space="preserve">。残りのタスクのレビューを待機しているため、スコアが正しくキャプチャされません。
生産性を向上させるために、メンバーはすべてのタスクのPGを進めて、ブロッカーを早期に見つける必要があります。次に、QAを待っている間に、前のタスクPTEを実行する時間を使用します。これは時間をより効率的に使うことができる。
他のメンバーのタスクをサポートするように
割り当てることができます。
1時間内の改善タスク。
</t>
    </r>
    <r>
      <rPr>
        <sz val="8"/>
        <color rgb="FFFF0000"/>
        <rFont val="Meiryo UI"/>
        <family val="3"/>
        <charset val="128"/>
      </rPr>
      <t xml:space="preserve">追加測定:
チームリーダーにセルフレビューの使用状況を監視させます。
</t>
    </r>
    <r>
      <rPr>
        <sz val="8"/>
        <rFont val="Meiryo UI"/>
        <family val="3"/>
        <charset val="128"/>
      </rPr>
      <t xml:space="preserve">
High Performing Senior with a very fast adaptability. He is an additional member but performs better than most member. Score is not captured correctly due to waiting for review of the rest of the tasks.
To improve productivity, member should advance PG of all tasks so that blockers are found early on. Then while waiting for QA, use time to do previous task PTE. This makes use of the time more efficiently.
Can be assigned to support other members tasks.
1 Kaizen task on time.
</t>
    </r>
    <r>
      <rPr>
        <sz val="8"/>
        <color rgb="FFFF0000"/>
        <rFont val="Meiryo UI"/>
        <family val="3"/>
        <charset val="128"/>
      </rPr>
      <t xml:space="preserve">Additional measure:
Have the Team leads monitor usage of Self Review.
</t>
    </r>
  </si>
  <si>
    <t xml:space="preserve">①セルフチェック、リーダレビュー(Thorough self check/Leader Review)
②自己分析、品質改善計画の実行(Analysis of findings/errors/misses through QMS)
③品質改善計画の分析とメンバーへの共有(Knowledge sharing/best practices by Top Performers)
④ノウハウ検索DB(Knowledge base creation &amp; maintenance) 
⑤QA分析と対策(QA analysis + survey of common issues and resolution)
</t>
  </si>
  <si>
    <t>Kumamoto Z206550</t>
  </si>
  <si>
    <t>Kumamoto Z206551</t>
  </si>
  <si>
    <t>Kumamoto Z206552</t>
  </si>
  <si>
    <t>Kumamoto N280110</t>
  </si>
  <si>
    <t>John David Bildan</t>
  </si>
  <si>
    <t>Renz Ramos</t>
  </si>
  <si>
    <t>Team E</t>
    <phoneticPr fontId="3"/>
  </si>
  <si>
    <t>○：～1/22</t>
  </si>
  <si>
    <t>③Up to 8 app errors per Kstep</t>
  </si>
  <si>
    <t>Cabibihan, Antonio</t>
    <phoneticPr fontId="16"/>
  </si>
  <si>
    <t>Number of
Responded
Cases</t>
  </si>
  <si>
    <t>Adrian Paul Santos</t>
  </si>
  <si>
    <t>Highly Productive: Average of 116.3% in 7 completed tasks. 
High Quality:  7 app error in 3.5KStep (7 tasks). Only 1 Task with high error rate due to small KS.
Good Team Contribution: Assist other members on their questions.
On-time completion rate is 100%. 
The only member who achieved 100% on-time completion rate with consistent above average productivity and quality scores.</t>
  </si>
  <si>
    <t>Overall good performance.
High error rate are due to low KS.</t>
  </si>
  <si>
    <t>Kumamoto
Z2K3M10</t>
  </si>
  <si>
    <t>Kumamoto
N202100</t>
  </si>
  <si>
    <t>Kumamoto
N202101</t>
  </si>
  <si>
    <t>Kumamoto
ZA84530</t>
  </si>
  <si>
    <t>Kumamoto
ZA84540</t>
  </si>
  <si>
    <t>Kumamoto
Z203180</t>
  </si>
  <si>
    <t>Funabashi
N204110G</t>
  </si>
  <si>
    <t>Anthony Ryan Austria</t>
  </si>
  <si>
    <t>High Productivity. Completed 5/6 tasks with the remaining phase pending review feedback. Average of 228.6% in 5 completed tasks. 
High Quality: Only 1 Task with high error rate due to small KS. 18 app error in 4.6KStep (5 tasks). Average of 3.9 error/KStep. Still within target. 
High Team Contribution: Reviews tasks, provides guidance to team members, act as back-up TL.</t>
  </si>
  <si>
    <t>Overall good performance.
High error rate are due to low KS.
PTS6/PTE6 pending review feedback from FXS.</t>
  </si>
  <si>
    <t>Kumamoto
Z206MG0</t>
  </si>
  <si>
    <t>Kumamoto
Z206040</t>
  </si>
  <si>
    <t>Kumamoto
Z206041</t>
  </si>
  <si>
    <t>Kumamoto
Z203A60</t>
  </si>
  <si>
    <t>Kumamoto
Z20D900</t>
  </si>
  <si>
    <t>Funabashi
N202280G</t>
  </si>
  <si>
    <t>Christian Batang</t>
  </si>
  <si>
    <t xml:space="preserve">High Productivity: 3/5 tasks complete (107% average productivity) with the remaining pending FXS feedback and TL/Sr feedback. 
High Quality: completed tasks are with 0 finding. 
Average Team Contribution.
On-time completion rate is 60%. </t>
  </si>
  <si>
    <t>Task 3 delayed due to Webdesigner issue and Task 5 is witing for TL/SR review.</t>
  </si>
  <si>
    <t>QA9件。うちPJQA2件。
webdesignerのビルドミスやFw.batのミスなど一部初歩的なミスが見られる。</t>
    <phoneticPr fontId="10"/>
  </si>
  <si>
    <t>Task1:10件、テストケース過多/不足、テストケース理解不足
Task2:2件、単純ミス
Task3:6件、テストケース過多/不足、テストケース理解不足、テストエビデンス不足
Task4:16件、テストケース過多/不足、テストケース理解不足、テストエビデンス不足、単純ミス,構成資産一覧記入不足
Task5:11件、テストケース過多/不足、テストケース理解不足、テストエビデンス不足、納品資産の不足</t>
  </si>
  <si>
    <t>Kumamoto
N203VY0</t>
  </si>
  <si>
    <t>Kumamoto
N202J90</t>
  </si>
  <si>
    <t>Kumamoto
N202040</t>
  </si>
  <si>
    <t>Kumamoto
Z203ME0</t>
  </si>
  <si>
    <t>Kumamoto
N214010</t>
  </si>
  <si>
    <t>Ermilo Lallo</t>
  </si>
  <si>
    <t>Productivity for Task 1 is good with 84% in 1 completed task. 
Quality is good with Zero app error in 0.4KStep (1 task). 
Average team contribution.
On-time completion rate is 25%. 
Considering that member was only able to complete 1/4 task, a second evaluation after all tasks are completed are recommeded. For now, member is set to Maru, delays are due to external factor such as screen dependecy issues and waiting for FXS review.</t>
  </si>
  <si>
    <t>Delays are due to screen dependecy issues and waiting for FXS review feedback.
Member waiting for other members to to complete task before he can proceed.</t>
  </si>
  <si>
    <t>熊　QA15件。うちPJQA1件。
船　QA0件。うちPJQA0件。
一部、初歩的なQA（資産の移動もれなど）があるが、QA数を見ると問題ない。</t>
    <phoneticPr fontId="10"/>
  </si>
  <si>
    <t>Reason for Low QUALITY is due to common errors such as:
- Missing entry on PTS sheet and didn't set max number of characters due to being overlooked.
- It was also reported the Cancel Codes for Function Call in Cobol are not added in Scob File.
Reason:
- Overlooked on PTS sheet while confused when to use Cancel Codes.
- Lack of know-how on working on cancel-codes. 
'-一般的なエラー:
・PTSシートに記載漏れがあり、見落としにより最大文字数を設定していませんでした。
- COBOL の関数呼び出しのキャンセル コードにも報告されていましたが、Scob ファイルには追加されませんでした。
理由：
- キャンセルコードの問題が新たに指示されているにもかかわらず、PTSシート上で見落とされていました。</t>
  </si>
  <si>
    <t xml:space="preserve">- High Productivity Score
- Completed 50% or 2/4 of assigned tasks.
- Delays was due to blockers and QAs
- Tried to catch up with the delays and rendered 28 hrs of OT last month. 
- Attitude of member is good as well.
- Kaizen: 3 tasks are complete PG and working on PTS/PTE. 2 Niigata Tasks has PG started.
- Improvement Plan: Yokotenkai on Cancel Codes and refresher on PTS sheet.
'- 高い生産性スコア
- 割り当てられたタスクの 50% または 2/4 を完了しました。
- 遅延はブロッカーと QA によるものでした。
- 遅れを取り戻そうと努め、先月は 28 時間の OT をレンダリングしました。
・メンバーの態度も良い。
- カイゼン: 3 つのタスクが PG を完了し、PTS/PTE に取り組んでいます。 2 新潟タスクスはPGを開始しました。
- 改善計画: キャンセル コードのヨコテンカイと PTS シートの更新。
----
Additional Justification:
- Low Quality was due to no Findings Data yet.
</t>
  </si>
  <si>
    <r>
      <rPr>
        <sz val="8"/>
        <color rgb="FF000000"/>
        <rFont val="Meiryo UI"/>
        <family val="3"/>
        <charset val="128"/>
      </rPr>
      <t xml:space="preserve">①Thorough self check
②Analysis of findings/errors/misses through QMS
③Knowledge sharing/best practices by Top Performers
④Knowledge base creation &amp; maintenance 
⑤QA analysis + survey of common issues and resolution
</t>
    </r>
    <r>
      <rPr>
        <sz val="8"/>
        <color rgb="FFFF0000"/>
        <rFont val="Meiryo UI"/>
        <family val="3"/>
        <charset val="128"/>
      </rPr>
      <t>6. Setting per task qualily KPI based on QA analysis and survey. Discovery and avoidance of frequent errors.
7. Special Session with JGG regarding Cancel Codes in the Scob File task execution.</t>
    </r>
  </si>
  <si>
    <t>Kumamoto
Z284580</t>
  </si>
  <si>
    <t>Kumamoto
N214040</t>
  </si>
  <si>
    <t>Kumamoto
Z206510</t>
  </si>
  <si>
    <t>Kumamoto
Z206511</t>
  </si>
  <si>
    <t>Hilario Catral</t>
  </si>
  <si>
    <t>Good Productivity with  139.7% in 2 completed tasks. 
Average Quality With  7 app error in 0.6KStep (2 tasks). This is due to low KS of task 1.
On-time completion rate is 40%. 
High team contribution: reviewer of members task, provide guidance to members.
Member is set to Maru due to team contriution and delays due to FXS review.</t>
  </si>
  <si>
    <t>Tasks delays are due to waiting for FXS review feedback. 
Task 3,4,6 - PTS/E in progress</t>
  </si>
  <si>
    <t>QA11件。うちPJQA2件。
資産配置に関するQAもあるが、他はでるべきQA 。問題ない認識。</t>
    <phoneticPr fontId="10"/>
  </si>
  <si>
    <t>Task1:5件、テストケース過多/不足、テストエビデンス不足
Task2:8件、テストケース過多/不足、テストエビデンス不足,単純ミス,構成資産一覧記入不足
Task3:6件、テストケース過多/不足、テストエビデンス不足,構成資産一覧記入不足
Task4:6件、テストケース過多/不足、テストエビデンス不足,画面編集ミス,単純ミス</t>
  </si>
  <si>
    <t>Kumamoto
Z203MW0</t>
  </si>
  <si>
    <t>Kumamoto
N202C60</t>
  </si>
  <si>
    <t>Kumamoto
Z203W20</t>
  </si>
  <si>
    <t>Kumamoto
Z203M60</t>
  </si>
  <si>
    <t>Funabashi
N203120G</t>
  </si>
  <si>
    <t>Joe Marie Payos</t>
  </si>
  <si>
    <t xml:space="preserve">High productivity: 128.2% in 5 completed tasks. 
Quality is good: 12 app error in 2.2KStep (5 tasks). Meeting the target with average of 5.4 error/KStep.
Average team contribution. 
On-time completion rate is 62.5%. 
Unclosed tasks are due to pending review feedback from FXS.
</t>
  </si>
  <si>
    <t>Tasks delays are due environment issues and waiting for FXS review feedbacks.
Task5 - PTS/E waiting for FXS review
Task 7, 8 - PG Waiting for TL/SR review</t>
  </si>
  <si>
    <t>熊　QA14件。うちPJQA1件。
船　QA4件。うちPJQA0件。
cobolのコンパイルエラーに関するQAが多いが、QAレベルには問題ない。</t>
    <phoneticPr fontId="10"/>
  </si>
  <si>
    <t>Task1:7件、テストケース過多/不足、単純ミス,構成資産一覧記入不足
Task2:2件、テストケース過多/不足、単純ミス
Task3:16件、テストケース過多/不足、単純ミス、テストエビデンス不足,画面編集ミス,仕様書雛形の選択ミス
Task4:4件、テストケース過多/不足、仕様書雛形の選択ミス、テストエビデンス不足
Task5:2件、テストケース過多/不足、単純ミス
Task6:2件、テストケース過多/不足、納品資産の不足</t>
  </si>
  <si>
    <r>
      <rPr>
        <b/>
        <sz val="8"/>
        <color rgb="FF000000"/>
        <rFont val="Meiryo UI"/>
        <family val="3"/>
        <charset val="128"/>
      </rPr>
      <t xml:space="preserve">LOW QUALITY EXPLANATION
</t>
    </r>
    <r>
      <rPr>
        <sz val="8"/>
        <color rgb="FF000000"/>
        <rFont val="Meiryo UI"/>
        <family val="3"/>
        <charset val="128"/>
      </rPr>
      <t>- Common errors:
- PT spec confusiion on the new screens (Tab Panel)
- 4/7 of his tasks still don't have number of findings, affecting the total score.
- Low KS of the tasks assigned.
Reason:
- Tab Panel was not covered on OJT phase.
-一般的なエラーは、OJTフェーズで取り上げられなかった新しい画面 (タブパネル) のPT仕様の混乱にあります。
-彼のタスクの4/7にはまだ検出結果の数がカウントされておらず、合計スコアに影響しています。
-割り当てられたタスクのKSが低い。</t>
    </r>
  </si>
  <si>
    <t>- High Productivity Score
- Completed all tasks 7/7 as of Feb 6.
- Was initially advance on the tasks but got delayed due to pending review.
- Very Efficient. Rendered only a total of 6 hours OT for the month of January but still was able to complete the tasks.
- Kaizen: All assigned Niigata tasks are blocked.
- Improvement Plan: Yokotenkai on Tab Panel Processing
-高い生産性スコア
-2月6日現在、すべてのタスクを7/7完了しました。
-最初はタスクを進めていましたが、保留中のレビューのために遅れました。
-非常に効率的です。1月は合計6時間しか残業しませんでしたが、それでもタスクを完了できました。</t>
  </si>
  <si>
    <t>Kumamoto
ZZ06MA0</t>
  </si>
  <si>
    <t>Kumamoto
TK02010</t>
  </si>
  <si>
    <t>Kumamoto
N203V20</t>
  </si>
  <si>
    <t>Kumamoto
Z205M20</t>
  </si>
  <si>
    <t>Kumamoto
N20D130</t>
  </si>
  <si>
    <t>Kumamoto
N20D140</t>
  </si>
  <si>
    <t>Funabashi
N203D40G</t>
  </si>
  <si>
    <t>Funabashi
N203D41G</t>
  </si>
  <si>
    <t>John Dennies Cerbito</t>
    <phoneticPr fontId="10"/>
  </si>
  <si>
    <t>Good productivity with 123.2% in 2 completed tasks
Quality is low with 8 app error in 0.6KStep (2 tasks) due to low KS.
Poor attendance (11 Leaves in 3 Months)
Assigned Task 2 is complex with 56MH allotted. Member is struggling to complete the task and the blockers encountered doesn't help.</t>
  </si>
  <si>
    <t>Delays are due to environment issues (V2, V3, and web designer). He got stuck also on task 2 which is the largest assigned task.</t>
  </si>
  <si>
    <t>熊　QA11件。うちPJQA0件。
船　QA6件。うちPJQA0件。
QA数は少ないが、手順ミス起因のQAが多い。</t>
    <phoneticPr fontId="10"/>
  </si>
  <si>
    <t>Task1:5件、テストケース過多/不足、納品資産の不足、単純ミス
Task2:4件、テストケース過多/不足、単純ミス、エビデンス改善要
Task3:7件、テストケース過多/不足、単純ミス、テストエビデンス不足,構成資産一覧記入不足
Task4:8件、テストケース過多/不足、テストエビデンス不足,構成資産一覧記入不足
Task5:4件、テストケース過多/不足、テストケース理解不足、テストエビデンス不足</t>
  </si>
  <si>
    <t xml:space="preserve">Reason for Low QUALITY is due to common errors such as:
- Incorrect delivery path, incorrect size components in web designer, and incorrect comment tags.
- It was also reported the Cancel Codes for Function Call in Cobol are not added in Scob File.
Reason:
- Overlooked on the delivery path, zies components, and tags.
- Lack of know-how on working on cancel-codes. 
'- よくあるエラー:
- 配信パスが間違っている、Web デザイナーのコンポーネントのサイズが間違っている、コメント タグが間違っている。
- COBOLの関数呼び出しのキャンセルコードがScobファイルに追加されていないことも報告されています。
理由：
・配送経路、部品、タグの見落とし。
- キャンセルコードに混乱があります。
・キャンセルコード処理のノウハウ不足。
</t>
  </si>
  <si>
    <t>- High Productivity Score
- Completed 60% or 3/5 of assigned tasks as of Feb. 12
- Member had difficulty on his Task 2 which is largest task with a scale of 7.025.
- Delays are due to blockers to his tasks and delays in the FXS review.
- Member tried to catch up with the delays and rendered 62 hrs OT last January.
- Kaizen: 1 task for JGG delivery. 2 Task in progress, 1 Task advance.
- Improvement Plan: Yokotenkai on Cancel Codes
'- 高い生産性スコア
- 完了 2 月 12 日の時点で、割り当てられたタスクの 60% または 5 分の 3 が完了しました。
- メンバーは、スケール 7.025 の最大のタスクであるタスク 2 で困難を抱えていました。
- 遅延は、彼のタスクの障害と FXS レビューの遅れによるものです。
- メンバーは遅れを取り戻そうと努力し、昨年 1 月に 62 時間の OT を実施しました。
- カイゼン：JGG配信のタスク1件。 2 つのタスクは進行中で、1 つはすでに高度なタスクです。
- 改善計画: キャンセルコードのヨコテンカイ。
----
Additional Justification:
- Encountered 1 QA where self-resolution is expected through guidance
- Task 2 is the largest task with 6.3KS and Scale of .7.025.</t>
  </si>
  <si>
    <r>
      <rPr>
        <sz val="8"/>
        <color rgb="FF000000"/>
        <rFont val="Meiryo UI"/>
        <family val="3"/>
        <charset val="128"/>
      </rPr>
      <t xml:space="preserve">①Thorough self check
②Analysis of findings/errors/misses through QMS
③Knowledge sharing/best practices by Top Performers
④Knowledge base creation &amp; maintenance 
⑤QA analysis + survey of common issues and resolution
</t>
    </r>
    <r>
      <rPr>
        <sz val="8"/>
        <color rgb="FFFF0000"/>
        <rFont val="Meiryo UI"/>
        <family val="3"/>
        <charset val="128"/>
      </rPr>
      <t xml:space="preserve">6.Setting per task qualily KPI based on QA analysis and survey. Discovery and avoidance of frequent errors.
</t>
    </r>
  </si>
  <si>
    <t>Kumamoto
N202VB0</t>
  </si>
  <si>
    <t>Kumamoto
Z203350</t>
  </si>
  <si>
    <t>Kumamoto
N203S80</t>
  </si>
  <si>
    <t>Kumamoto
N214V10</t>
  </si>
  <si>
    <t>Kumamoto
N202I50</t>
  </si>
  <si>
    <t>John Philip Atijera</t>
  </si>
  <si>
    <t xml:space="preserve">Productivity is 106.7% in 1 completed task.
Quality is good with zero app error in 0.3KStep (1 task).
Completion Rate is 33.3%
High Team Contribution: Considering that he is only the TL for team E, he is patient in guiding and assiting members. Sometimes renders unpaid OT to review members tasks. </t>
  </si>
  <si>
    <t>Delays are due to screen dependencies. Task 2 has dependency on Task 3</t>
  </si>
  <si>
    <t>熊　QA8件。うちPJQA0件。
船　QA0件。うちPJQA0件。
QAも少なく、出るべきQA。自己解決力が高い印象。</t>
    <phoneticPr fontId="10"/>
  </si>
  <si>
    <t>Task1:3件、テストケース過多/不足、テストエビデンス不足,構成資産一覧記入不足</t>
  </si>
  <si>
    <t xml:space="preserve">Reason for Low QUALITY is due to common errors such as: 
- v2 and v3 evidence mismatch, and additonal files uploaded on sharepoint.
- Missing Test Cases which are not encountered OJT/KT.
- It was also reported the "Cancel" and "Order by" Codes for Function Call in Cobol are not added in Scob File.
- Reason:
- Confusion on the Cancel COdes.
- Test Cases are not encountered during OJT
'- 一般的なエラー:
- v2 と v3 の証拠が一致せず、追加のファイルが共有ポイントにアップロードされました。
- OJT/KT に遭遇していないテスト ケースが欠落していました。
- COBOL の関数呼び出しの「Cancel」コードと「Order by」コードが Scob ファイルに追加されていないことも報告されています。
- 理由：
- キャンセルコードに関する混乱。
・OJT中にテストケースに遭遇しない。
</t>
  </si>
  <si>
    <t xml:space="preserve">- High Productivity Score
- High Team Contribution : reviews members tasks and provides guidance.
- Completed 1/3 or 33.33% if assigned tasks.
- Tasks are delayed due to Pending QAs and Screen Dependency of 2 remaining tasks.
- Member supported the team and tried to catch-up his tasks with a total of 40 hours of OT last January.
- Kaizen: 3 tasks are in progress. 
- Improvement: Yokotenkai on Cancel Codes and new Test Cases
-高い生産性スコア
-高いチーム貢献:メンバーのタスクをレビューし、ガイダンスを提供する。
-タスクが割り当てられている場合は、1/3または33.33%を完了しました。
-保留中のQAおよび残り2つのタスクの画面依存関係により、タスクが遅延しています。
-メンバーはチームをサポートし、昨年1月に合計40時間のOTでタスクをキャッチアップしようとした。
-改善:3つのタスクが進行中です。
-改善:Yokotenkai on Cancel Codeと新しいテストケース
----
Additional Justification:
Encountered 2 QA where self-resolution is expected through guidance.
</t>
  </si>
  <si>
    <r>
      <rPr>
        <sz val="8"/>
        <color rgb="FF000000"/>
        <rFont val="Meiryo UI"/>
        <family val="3"/>
        <charset val="128"/>
      </rPr>
      <t xml:space="preserve">①Thorough self check
②Analysis of findings/errors/misses through QMS
③Knowledge sharing/best practices by Top Performers
④Additional technical TL to support debugging and inquries
⑤Knowledge base creation &amp; maintenance 
⑥QA analysis + survey of common issues and resolution
⑦Study Session with Japan side (勉強会)
⑧Monitor admin tasks
</t>
    </r>
    <r>
      <rPr>
        <sz val="8"/>
        <color rgb="FFFF0000"/>
        <rFont val="Meiryo UI"/>
        <family val="3"/>
        <charset val="128"/>
      </rPr>
      <t>9. Balance review work load to have more time to focus on tasks assigned</t>
    </r>
  </si>
  <si>
    <t>Kumamoto
Z203M10</t>
  </si>
  <si>
    <t>Kumamoto
JK02M60</t>
  </si>
  <si>
    <t>Kumamoto
JK02M61</t>
  </si>
  <si>
    <t>Joseph Baldorado</t>
  </si>
  <si>
    <t xml:space="preserve">Productivity is good with 110.6% in 4 completed task.
Quality is good with 5 app error in 1.2KStep (4 tasks).
Completion Rate is 55.6%
Team Contribution is average.
Member was fast to catch-up. Was able to close 1 task and 2 phases ready for review in 1 week.
</t>
  </si>
  <si>
    <t>Delays are due to Screen dependencies,  environment issues (V2), and Missing Data</t>
  </si>
  <si>
    <t>熊　QA30件。うちPJQA5件。
船　QA7件。うちPJQA0件。
QA数も多く、マスタの登録漏れや帳票の移動漏れなど単純ミスも多い。</t>
    <phoneticPr fontId="10"/>
  </si>
  <si>
    <t>Task1:6件、テストケース過多/不足、単純ミス、テストエビデンス不足,構成資産一覧記入不足
Task2:3件、テストケース過多/不足、単純ミス
Task3:4件、テストケース過多/不足、単純ミス
Task4:5件、テストケース過多/不足、テストケース理解不足,構成資産一覧記入不足
Task5:4件、テストケース過多/不足、単純ミス,画面編集ミス、テストエビデンス不足
Task6:1件、テストケース過多/不足
Task7:5件、テストケース過多/不足、単純ミス、テストエビデンス不足</t>
  </si>
  <si>
    <t>-Common Errors:
- Wrong sizing of components in Webdesigner and V3 Screens
- It was also reported the "Cancel" and "Order by" Codes for Function Call in Cobol are not added in Scob File.
Reason:
- Confusion on the Cancel Codes
-一般的なエラー:
-WebdesignerおよびV3画面でのコンポーネントのサイズ設定の誤り
-Cobolのファンクションコールの"Cancel"と"Order by"コードがScobファイルに追加されていないことも報告されました。
理由:
-キャンセルコードの混乱</t>
  </si>
  <si>
    <t>- High Productivity Score
- Completed all tasks 9/9 as of Feb. 8
- Kaizen: 1 task in progress. The rest of Niigata tasks are blocked.
- Improvement Plan:  Yokotenkai on Cancel Codes
'-高生産性スコア
-2月8日現在、すべてのタスクを9/9完了しました。
-改善:1つのタスクが進行中です。残りの新潟タスクはブロックされています。
・改善案:キャンセルコードに関する洋天会</t>
  </si>
  <si>
    <t>Kumamoto
Z206M90</t>
  </si>
  <si>
    <t>Kumamoto
Z284550</t>
  </si>
  <si>
    <t>Kumamoto
Z284560</t>
  </si>
  <si>
    <t>Kumamoto
N202NK0</t>
  </si>
  <si>
    <t>Kumamoto
N240630</t>
  </si>
  <si>
    <t>Kumamoto
Z702040</t>
  </si>
  <si>
    <t>Kumamoto
Z203M20</t>
  </si>
  <si>
    <t>Funabashi
N203T20G</t>
  </si>
  <si>
    <t>Marlon Barnuevo</t>
  </si>
  <si>
    <t>Good productivity with  119.7% in 2 completed task.
Good Quality with 0 app error in 0.4KStep (2 tasks).  
On-time completion rate is 40%. 
Good team contributions (Junior Member but provides advise to other members). Motivated to resolve issues and complete tasks.</t>
  </si>
  <si>
    <t>Delays are due to Missing Data.</t>
  </si>
  <si>
    <t>熊　QA20件。うちPJQA1件。
船　QA11件。うちPJQA0件。
QA数が多いが、QAには、自己解決も数件含まれており自己解決力が成長している。</t>
    <phoneticPr fontId="10"/>
  </si>
  <si>
    <t>Task1:5件、単純ミス、テストデータ不備、テストエビデンス不足
Task2:6件、テストケース過多/不足、テストエビデンス不足、仕様書雛形の選択ミス、納品資産の不足
Task3:9件、テストケース過多/不足、テストエビデンス不足、エビデンス改善要、単純ミス</t>
  </si>
  <si>
    <r>
      <rPr>
        <sz val="8"/>
        <color rgb="FF000000"/>
        <rFont val="Meiryo UI"/>
        <family val="3"/>
        <charset val="128"/>
      </rPr>
      <t xml:space="preserve">- Common errors:
Missing or mismatched entries on PTS/PTE due to being overlooked. 
Missing Test Cases which are not encountered OJT/KT.
Unnessary usage of Component parts in the webdesigner for tab screens. Tab screens are not part of the OJT.
- Reason:
- Low quality due to first time working on tab screens. This was not part of the OJT
</t>
    </r>
    <r>
      <rPr>
        <sz val="8"/>
        <color rgb="FFFF0000"/>
        <rFont val="Meiryo UI"/>
        <family val="3"/>
        <charset val="128"/>
      </rPr>
      <t xml:space="preserve">- Lack of know-how due to tasks are assigned was not covered during OJT/ KT..
</t>
    </r>
    <r>
      <rPr>
        <sz val="8"/>
        <color rgb="FF000000"/>
        <rFont val="Meiryo UI"/>
        <family val="3"/>
        <charset val="128"/>
      </rPr>
      <t xml:space="preserve">
'-一般的なエラー:
見落とされたため、PTS/PTEのエントリが欠落しているか、一致していません。
OJT/KTに遭遇しなかったテストケースの欠落。
タブ画面のWebデザイナーでのコンポーネントパーツの不必要な使用。タブ画面はOJTの一部ではありません。
-理由:
タブ画面での初めての作業による低品質。これはOJTの一部ではありませんでした。
・タスクの割り当てによるノウハウ不足をOJT/KTでカバーしていない。</t>
    </r>
  </si>
  <si>
    <t>- High Productivity Score
- Completed 75% or 3/4 of assigned tasks
- Team Contribution is good. He was able to assist other member even if he is a junior PG.
- Delays are due to QAs and encountered blockers on his task.
- Kaizen: 1 task for JGG delivery. 1 Task in progress. 2 Niigata tasks are blocked.
- Improvement Plan: Yokotenkai on Tab Screens
'-高生産性スコア
-割り当てられたタスクの75%または3/4を完了
-チーム貢献は良好です。ジュニアPGでも、他のメンバーを助けることができました。
-遅延はQAによるものであり、タスクでブロッカーが発生しました。
-改善:JGGデリバリのタスクは1つ。1進行中のタスク。2新潟タスクがブロックされています。
・改善案:タブ画面の横天海
----
Additional Justification:
- Encountered 1 QA difficult to self-solve.</t>
  </si>
  <si>
    <r>
      <rPr>
        <sz val="8"/>
        <color rgb="FF000000"/>
        <rFont val="Meiryo UI"/>
        <family val="3"/>
        <charset val="128"/>
      </rPr>
      <t xml:space="preserve">①Thorough self check
②Analysis of findings/errors/misses through QMS
③Knowledge sharing/best practices by Top Performers
④Knowledge base creation &amp; maintenance 
⑤QA analysis + survey of common issues and resolution
</t>
    </r>
    <r>
      <rPr>
        <sz val="8"/>
        <color rgb="FFFF0000"/>
        <rFont val="Meiryo UI"/>
        <family val="3"/>
        <charset val="128"/>
      </rPr>
      <t>6. Setting per task qualily KPI based on QA analysis and survey. Discovery and avoidance of frequent errors.
7. Special session with JGG regarding Tab Screens task execution.</t>
    </r>
  </si>
  <si>
    <t>Kumamoto
Z203M90</t>
  </si>
  <si>
    <t>Kumamoto
N202020</t>
  </si>
  <si>
    <t>Kumamoto
Z203LA0</t>
  </si>
  <si>
    <t>Funabashi
N204120G</t>
  </si>
  <si>
    <t>Mary Grace Estoperez</t>
  </si>
  <si>
    <t>High Productivity with 217.8% in 1 completed task. 
Average Quality with 3 app error in 0.1KStep (1 task)
On-time completion rate is 33.3%. 
Good Team contribution (Consultation and engagement activities). High motvation even advancing to 2 tasks.</t>
  </si>
  <si>
    <t>Tasks delays are due to waiting for FXS review feedback.</t>
  </si>
  <si>
    <t>QA10件。うちPJQA2件。
環境やデータ起因のQAが多くみられる。おおむね問題ない。</t>
    <phoneticPr fontId="10"/>
  </si>
  <si>
    <t>Task1:5件、テストケース過多/不足、単純ミス、テストケース理解不足
Task2:10件、テストケース過多/不足、テストエビデンス不足、テストケース理解不足
Task3:3件、テストケース過多/不足、単純ミス</t>
  </si>
  <si>
    <t>Kumamoto
Z203W30</t>
  </si>
  <si>
    <t>Kumamoto
N200200</t>
  </si>
  <si>
    <t>Kumamoto
JK02M90</t>
  </si>
  <si>
    <t>Peter Joshua Jacinto</t>
  </si>
  <si>
    <t>Good Productivity with :109.1% in 5 completed task. .
Quality is good with  11 app error in 1.6KStep (5 task).  
Average team contrinbution.
On Time  competion rate is 71.4%
Very Productive since the start of the Ikan Phase.</t>
  </si>
  <si>
    <t>熊本
Task1:7件、画面編集ミス、単純ミス、テストエビデンス不足
Task2:3件、画面編集ミス、テストケース過多/不足
Task3:2件、画面編集ミス、テストケース過多/不足
Task4:2件、画面編集ミス、エビデンス改善要
Task5:10件、単純ミス、テストエビデンス不足,テストケース過多/不足
船橋
Task1:4件、画面編集ミス、テストケース過多/不足,構成資産一覧記入不足</t>
  </si>
  <si>
    <t>Kumamoto
Z201010</t>
  </si>
  <si>
    <t>Kumamoto
Z203MR0</t>
  </si>
  <si>
    <t>Kumamoto
Z202NC0</t>
  </si>
  <si>
    <t>Kumamoto
Z202800</t>
  </si>
  <si>
    <t>Kumamoto
N240440</t>
  </si>
  <si>
    <t>Funabashi
N203X60G</t>
  </si>
  <si>
    <t>Remon Jay Cordero</t>
    <phoneticPr fontId="10"/>
  </si>
  <si>
    <t xml:space="preserve">Good Productivity with :122.6% in 3 completed task.
Average Quality with  15 app error in 1.8KStep (3 task). 
Team Contribution is average.
On-time completion rate is 50%. 
Member is currently rendering daily OT since the past week to catch up with the remaining task.
</t>
  </si>
  <si>
    <t>Tasks are delayed due to Missing Data and Waiting for FXS review feedback.</t>
  </si>
  <si>
    <t>熊　QA8件。うちPJQA0件。
船　QA4件。うちPJQA1件。
QAも少なく、出るべきQA。自己解決力が高い印象。</t>
    <phoneticPr fontId="10"/>
  </si>
  <si>
    <t>Task1:12件、納品資産の不足、画面編集ミス、単純ミス、テストエビデンス不足,テストケース過多/不足
Task2:5件、構成資産一覧記入不足、単純ミス
Task3:10件、テストケース過多/不足、テストケース理解不足、テストエビデンス不足、納品資産の不足
Task4:10件、テストケース過多/不足、テストケース理解不足、テストエビデンス不足、画面編集ミス、テストデータ不備、納品資産の不足
Task5:5件、テストケース過多/不足、エビデンス改善要,テストケース理解不足</t>
  </si>
  <si>
    <r>
      <rPr>
        <sz val="8"/>
        <color rgb="FF000000"/>
        <rFont val="Meiryo UI"/>
        <family val="3"/>
        <charset val="128"/>
      </rPr>
      <t xml:space="preserve">Reason for Low QUALITY is due to common errors such as:
- Cases is not a test target and lack of screenshots
Reason:
- Missing Test Cases which are not encountered OJT/KT. 
</t>
    </r>
    <r>
      <rPr>
        <sz val="8"/>
        <color rgb="FFFF0000"/>
        <rFont val="Meiryo UI"/>
        <family val="3"/>
        <charset val="128"/>
      </rPr>
      <t xml:space="preserve">- Lack of know-how due to tasks are assigned was not covered during OJT/ KT..
</t>
    </r>
    <r>
      <rPr>
        <sz val="8"/>
        <color rgb="FF000000"/>
        <rFont val="Meiryo UI"/>
        <family val="3"/>
        <charset val="128"/>
      </rPr>
      <t xml:space="preserve">
'-一般的なエラー:
-ケースはテストターゲットではなく、スクリーンショットがない
理由:
-OJT/KTに遭遇していないテストケースの欠落。
・タスクの割り当てによるノウハウ不足をOJT/KTでカバーしていない。
</t>
    </r>
  </si>
  <si>
    <t>- High Productivity Score
- Completed 4/6 of assigned tasks as of Feb. 12
- Delays are due to FXS review.
- Member attitude is good also and has no major issue.
- Member tried to catch-up with his task and rendered 26 hours of OT last January.
- Low quality can be improve and was only due to minor mistakes.
- Kaizen: 2 Niigata tasks are blocked. Will be working on the next assigned tasks.
- improvement plan: Yokotenkai on new Test Cases
'-高生産性スコア
-2月12日現在、割り当てられたタスクの4/6を完了
-遅延はFXSレビューによるものです。
・メンバーの態度も良く、大きな問題はありません。
-メンバーは自分のタスクに追いつこうとし、昨年1月に26時間のOTを行った。
-低品質は改善可能であり、小さなミスによるものです。
-改善:2つの新潟タスクがブロックされています。次の割り当てられたタスクに取り組みます。
・改善計画:新テストケースの横展会
----
Additional Justification:
- Encountered 1 QA where self-resolution is expected through guidance and 1 QA difficult to self-solve.</t>
  </si>
  <si>
    <r>
      <rPr>
        <sz val="8"/>
        <color rgb="FF000000"/>
        <rFont val="Meiryo UI"/>
        <family val="3"/>
        <charset val="128"/>
      </rPr>
      <t xml:space="preserve">①Thorough self check
②Analysis of findings/errors/misses through QMS
③Knowledge sharing/best practices by Top Performers
④Knowledge base creation &amp; maintenance 
⑤QA analysis + survey of common issues and resolution
</t>
    </r>
    <r>
      <rPr>
        <sz val="8"/>
        <color rgb="FFFF0000"/>
        <rFont val="Meiryo UI"/>
        <family val="3"/>
        <charset val="128"/>
      </rPr>
      <t>6. Setting per task qualily KPI based on QA analysis and survey. Discovery and avoidance of frequent errors.
7. Special session with TL and Senior regarding lack of screenshots and target test cases.</t>
    </r>
  </si>
  <si>
    <t>Kumamoto
Z203MX0</t>
  </si>
  <si>
    <t>Kumamoto
N202070</t>
  </si>
  <si>
    <t>Kumamoto
N202C70</t>
  </si>
  <si>
    <t>Kumamoto
N202200</t>
  </si>
  <si>
    <t>Kumamoto
JK02M30</t>
  </si>
  <si>
    <t>Funabashi
JA02D10G</t>
  </si>
  <si>
    <t>Ronie Gadiane</t>
  </si>
  <si>
    <t xml:space="preserve">
No Productivity and Quality Scores yet. Member has ongoing blockers that stop him from completing tasks.
 Good Team contribution for reviewing members tasks, assisting in inquries, and guidance of members. Attendance is also good with low rate of VLs.</t>
  </si>
  <si>
    <t>Task 1 and 2 are delayed due to unresolved blockers on parent screen dependency and F10 issues.
Task 3, 4, 5 PG are waiting for FXS review feedback.</t>
  </si>
  <si>
    <t>熊　QA18件。うちPJQA1件。
船　QA1件。うちPJQA0件。
QA数は問題ないが、QAの調査などがあまりできていなく、もう少し期待したい。</t>
    <phoneticPr fontId="10"/>
  </si>
  <si>
    <t>Task1:11件、テストケース過多/不足、単純ミス、テストエビデンス不足、テストケース理解不足、納品資産の不足</t>
  </si>
  <si>
    <t>- Low Productivity:
- due to time spent on resolving the blocked tasks and testing recommended fixes.
- 1 tasks completed. 1 tasks for review. 1 task blocked. 2 tasks for fixing after review feedabck.
- Internal Review Common Mistakes:
- Web designer component sizes
- unseen extra spaces on Java
- Reason:
- Incorrect counting of the characters to be displayed on the components that are in Kanji.
- Spaces due to tool/editor used. Currently using Notepad++
-低い生産性:
-ブロックされたタスクの解決と推奨される修正のテストに時間がかかったため。
-1個のタスクが完了しました。レビューのための1つのタスク。1タスクブロックc。レビューフィードバック後の修正のための2つのタスク。
-内部レビューの一般的なミス:
-Webデザイナのコンポーネントサイズ
-Javaで表示されない余分なスペース
-理由:
-コンポーネントに表示される漢字の数が正しくありません。
-使用したツール/エディタによるスペース。現在Notepad++を使用中</t>
  </si>
  <si>
    <t xml:space="preserve">- High Team Contribution: Reviews members tasks. Provide guidance on members QAs. 
- Completed 1/5 assigned tasks as of Feb. 20
- Tasks are delayed due to QAs and FXS review.
- Common QAs are screen dependecy and V2 and V3 data mismatch.
- Member supported the team and tried to catch-up his tasks with a total of 43 hours of OT last January.
- Kaizen: 1 for JGG delivery. 1 Task for PTS/PTE review. 1 Niigata task in Progress. 1 Niigata Task Blocked.
- Quality Improvement:
- To use other editor like Sakura and Atom for the spaces and character count.
- 高いチーム貢献度:メンバーのタスクをレビューします。メンバーQAに関するガイダンスを提供する。
-2月20日現在、割り当てられたタスクの1/5を完了
-QAおよびFXSレビューのためにタスクが遅延している。
-一般的なQAは、画面の依存性とV2とV3のデータの不一致です。
-メンバーはチームをサポートし、昨年1月に合計43時間のOTでタスクをキャッチアップしようとした。
-カイゼン:JGG配信の場合は1。1 PTS/PTEレビューのためのタスク。1新潟タスク進行中。1新潟タスクブロック。
-品質向上:
・スペースや文字数をSakuraやAtomなどの他のエディタを使う。 
---
Additional Justification: 
- Encountered 1 "QA where self-resolution is expected through guidance" and 2 "QA difficult to self-solve". Spent a total of 131.5 MH on consultation with JGG and Other Senior members to resolve his issue.
- low quality due to no findings recoreded yet. 
</t>
  </si>
  <si>
    <r>
      <rPr>
        <sz val="8"/>
        <color rgb="FF000000"/>
        <rFont val="Meiryo UI"/>
        <family val="3"/>
        <charset val="128"/>
      </rPr>
      <t xml:space="preserve">①Thorough self check
②Analysis of findings/errors/misses through QMS
③Knowledge sharing/best practices by Top Performers
④Knowledge base creation &amp; maintenance 
⑤QA analysis + survey of common issues and resolution
</t>
    </r>
    <r>
      <rPr>
        <sz val="8"/>
        <color rgb="FFFF0000"/>
        <rFont val="Meiryo UI"/>
        <family val="3"/>
        <charset val="128"/>
      </rPr>
      <t>6. Setting per task qualily KPI based on QA analysis and survey. Discovery and avoidance of frequent errors.
7. Usage of other text editor like Sakura or Atom to avoid kanji character mistakes.</t>
    </r>
  </si>
  <si>
    <t>Kumamoto
Z203SA0</t>
  </si>
  <si>
    <t>Kumamoto
N214011</t>
  </si>
  <si>
    <t>Kumamoto
ZA03A00</t>
  </si>
  <si>
    <t>Funabashi
N202510G</t>
  </si>
  <si>
    <t>Ruzzel Hapon</t>
  </si>
  <si>
    <t xml:space="preserve">Productivity is high with 101.7% in 3 completed task. 
Average quality with 15 app error in 1.8KStep (3 task). 
On-time completion rate is 32.9%. 
Team contribution is average.
High motivation to complete tasks, renders OT. He was able to complete 1 tasks with 2 tasks waiting for review. </t>
  </si>
  <si>
    <t>QA11件。うちPJQA1件。
内容はデータ不足に伴うもので、調査もできており問題ない。</t>
    <phoneticPr fontId="10"/>
  </si>
  <si>
    <t>Task1:15件、テストケース過多/不足、単純ミス、テストエビデンス不足
Task2:5件、規約違反,テストケース過多/不足、納品資産の不足
Task3:7件、テストケース過多/不足、納品資産の不足、単純ミス、テストエビデンス不足,構成資産一覧記入不足
Task4:7件、テストケース過多/不足、単純ミス、テストエビデンス不足、テストケース理解不足
Task5:6件、テストケース過多/不足、構成資産一覧記入不足，画面編集ミス
Task6:3件、納品資産の不足，テストケース過多/不足、テストエビデンス不足</t>
  </si>
  <si>
    <r>
      <rPr>
        <b/>
        <sz val="8"/>
        <color rgb="FF000000"/>
        <rFont val="Meiryo UI"/>
        <family val="3"/>
        <charset val="128"/>
      </rPr>
      <t xml:space="preserve">LOW QUALITY EXPLANATION.
</t>
    </r>
    <r>
      <rPr>
        <sz val="8"/>
        <color rgb="FF000000"/>
        <rFont val="Meiryo UI"/>
        <family val="3"/>
        <charset val="128"/>
      </rPr>
      <t>- Common Error is missed coding standards.
- KSteps for the tasks are too low. 1 error resulted to high error rate.
低品質の説明。
-一般的なエラーは、コーディング標準を満たしていません。
-タスクのKステップが低すぎます。エラーが1つあるとエラー率が高くなります。</t>
    </r>
  </si>
  <si>
    <t>- High Productivity Score
- Good delivery of tasks with 5/7 Completed. 1 tasks blocked and 1 task for fixing.
- Dedicated and hardworking. Rendered 32 hours of OT last Month with half of it a week before the end of transition tasks (Jan. 19).
-高生産性スコア
-5/7完了のタスクの適切な配信。1つのタスクがブロックされ、1つのタスクが修正されました。
-献身的で勤勉。先月32時間のOTをレンダリングし、その半分を移行タスクの終了前の週にレンダリングしました(1月19日)。</t>
  </si>
  <si>
    <t>Kumamoto
N203310</t>
  </si>
  <si>
    <t>Kumamoto
Z203J80</t>
  </si>
  <si>
    <t>Kumamoto
N202VK0</t>
  </si>
  <si>
    <t>Kumamoto
Z202NG0</t>
  </si>
  <si>
    <t>Kumamoto
N200460</t>
  </si>
  <si>
    <t>Kumamoto
N200470</t>
  </si>
  <si>
    <t>Kumamoto
N202VD0</t>
  </si>
  <si>
    <t>Trister Bryan Profugo</t>
  </si>
  <si>
    <t xml:space="preserve">Productivity is good with 108.1% in 2 completed task. 
Good quality with 0 app error in 1.1KStep (2 task).
Team contribution is average. 
Other tasks are delayed.
On-time completion rate is 40%. </t>
  </si>
  <si>
    <r>
      <rPr>
        <sz val="8"/>
        <color rgb="FF000000"/>
        <rFont val="Meiryo UI"/>
        <family val="3"/>
        <charset val="128"/>
      </rPr>
      <t>Delayed Tasks.</t>
    </r>
    <r>
      <rPr>
        <b/>
        <sz val="8"/>
        <color rgb="FF000000"/>
        <rFont val="Meiryo UI"/>
        <family val="3"/>
        <charset val="128"/>
      </rPr>
      <t xml:space="preserve"> </t>
    </r>
    <r>
      <rPr>
        <sz val="8"/>
        <color rgb="FF000000"/>
        <rFont val="Meiryo UI"/>
        <family val="3"/>
        <charset val="128"/>
      </rPr>
      <t>Member reported blockers in the PG stage of the tasks. Lack of resourcefulness and motivation to look for solutions.</t>
    </r>
  </si>
  <si>
    <t>熊　QA18件。うちPJQA0件。
船　QA1件。うちPJQA0件。
QA数は問題ないが、QAの調査などがあまりできていなく、もう少し期待したい。</t>
    <phoneticPr fontId="10"/>
  </si>
  <si>
    <t>Task1:7件、テストケース過多/不足、単純ミス、テストエビデンス不足,チェックリスト記入不足
Task2:6件、テストケース過多/不足、単純ミス、テストエビデンス不足
Task3:9件、テストケース過多/不足、単純ミス、テストエビデンス不足、納品資産の不足</t>
  </si>
  <si>
    <r>
      <rPr>
        <sz val="8"/>
        <color rgb="FF000000"/>
        <rFont val="Meiryo UI"/>
        <family val="3"/>
        <charset val="128"/>
      </rPr>
      <t xml:space="preserve">- Common Errors:
-  Missing Screenshot and function problems due t not enough knowledge on grid screens.
- Missing Test Cases 
Reason:
- Low quality was due to first time working on grid screens. 
-  First time encountering Missing Test Cases.
</t>
    </r>
    <r>
      <rPr>
        <sz val="8"/>
        <color rgb="FFFF0000"/>
        <rFont val="Meiryo UI"/>
        <family val="3"/>
        <charset val="128"/>
      </rPr>
      <t xml:space="preserve">- Lack of know-how due to tasks are assigned was not covered during OJT/ KT..
</t>
    </r>
    <r>
      <rPr>
        <sz val="8"/>
        <color rgb="FF000000"/>
        <rFont val="Meiryo UI"/>
        <family val="3"/>
        <charset val="128"/>
      </rPr>
      <t xml:space="preserve">
'一般的なエラー:
-グリッド画面に関する知識が不足しているため、スクリーンショットの欠落と機能の問題が発生します。
-テストケースの欠落
理由:
-低品質は、グリッド画面で初めて作業したためです。
-初めて不足しているテストケースが発生しました。
・タスクの割り当てによるノウハウ不足をOJT/KTでカバーしていない。
---
</t>
    </r>
  </si>
  <si>
    <t xml:space="preserve">- High Productivity Score
- Completed 3/5 or 60% of assigned tasks.
- Delays are due to FXS review.
- member tried to catch-up with his tasks and rendered 42 hours of OT last week.
- Kaizen:  1 task for JGG delivery. 1 PG done and PTS/PTE for review. 1 PG for review and PTS/PTE in progress. Niigata PGs are in progress.
- Improvement plan: Yokotenkai on grid screens. Sharing of best practices  on Missing Test Cases
'-高生産性スコア
-割り当てられたタスクの3/5または60%を完了しました。
-遅延はFXSレビューによるものです。
-メンバーは自分のタスクに追いつこうとし、先週42時間のOTを行った。
-改善:JGGデリバリのタスクは1つ。1 PGが完了し、PTS/PTEがレビューされます。1 PGをレビューし、PTS/PTEを進行中。新潟PGが開催中です。
-改善計画:グリッドスクリーン上の横天海。テストケースの欠落に関するベストプラクティスの共有
--- 
Additiional Justification:
- Encountered 1 QA diffifcult to relf-resolve.
</t>
  </si>
  <si>
    <r>
      <rPr>
        <sz val="8"/>
        <color rgb="FF000000"/>
        <rFont val="Meiryo UI"/>
        <family val="3"/>
        <charset val="128"/>
      </rPr>
      <t xml:space="preserve">①Thorough self check
②Analysis of findings/errors/misses through QMS
③Knowledge sharing/best practices by Top Performers
④Knowledge base creation &amp; maintenance 
⑤QA analysis + survey of common issues and resolution
</t>
    </r>
    <r>
      <rPr>
        <sz val="8"/>
        <color rgb="FFFF0000"/>
        <rFont val="Meiryo UI"/>
        <family val="3"/>
        <charset val="128"/>
      </rPr>
      <t>6. Setting per task qualily KPI based on QA analysis and survey. Discovery and avoidance of frequent errors.
7. Special session with JGG regarding the Grid Screens Task execution.</t>
    </r>
  </si>
  <si>
    <t>Kumamoto
ZA84610</t>
  </si>
  <si>
    <t>Kumamoto
ZA84620</t>
  </si>
  <si>
    <t>Kumamoto
N202N60</t>
  </si>
  <si>
    <t>Kumamoto
Z202670</t>
  </si>
  <si>
    <t>Kumamoto
N214020</t>
  </si>
  <si>
    <t>Zachary Go</t>
  </si>
  <si>
    <t>Good productivity with :104.8% in 1 completed task. 
Good quality with: 0 app error in 0..3KStep (1 task).  
On-time completion rate is 25%.
Good Team contribution with the guidance and assistance to other members on non-project related questions. 
Assigned task 3 is complex with 56MH. Member is taking time to resolved the issue.</t>
  </si>
  <si>
    <r>
      <t>Delayed Tasks.</t>
    </r>
    <r>
      <rPr>
        <b/>
        <sz val="8"/>
        <color rgb="FF000000"/>
        <rFont val="Meiryo UI"/>
        <family val="3"/>
        <charset val="128"/>
      </rPr>
      <t xml:space="preserve"> </t>
    </r>
    <r>
      <rPr>
        <sz val="8"/>
        <color rgb="FF000000"/>
        <rFont val="Meiryo UI"/>
        <family val="3"/>
        <charset val="128"/>
      </rPr>
      <t>Member are taking time and assistance to work on his tasks, The task assigned might be above his level (task 3).</t>
    </r>
  </si>
  <si>
    <t>熊　QA8件。うちPJQA0件。
船　QA1件。うちPJQA0件。
QAも少なく、出るべきQA。自己解決力が高い印象。</t>
    <phoneticPr fontId="10"/>
  </si>
  <si>
    <t>Task1:7件、納品資産の不足,テストエビデンス不足,単純ミス,テストケース過多/不足,構成資産一覧記入不足
Task2:16件、チェックリスト記入不足,テストエビデンス不足,テストケース過多/不足,単純ミス,構成資産一覧記入不足,画面編集ミス,納品資産の不足</t>
  </si>
  <si>
    <r>
      <rPr>
        <sz val="8"/>
        <color rgb="FF000000"/>
        <rFont val="Meiryo UI"/>
        <family val="3"/>
        <charset val="128"/>
      </rPr>
      <t xml:space="preserve">Reason for Low QUALITY is due to common errors such as:
-  Missing Screenshot and function problems due t not enough knowledge on grid screens.
- Missing Test Cases
Reason:
-  Low quality was due to first time working on grid screens. 
- First time encountering Missing Test Cases.
</t>
    </r>
    <r>
      <rPr>
        <sz val="8"/>
        <color rgb="FFFF0000"/>
        <rFont val="Meiryo UI"/>
        <family val="3"/>
        <charset val="128"/>
      </rPr>
      <t xml:space="preserve">- Lack of know-how due to tasks are assigned was not covered during OJT/ KT..
</t>
    </r>
    <r>
      <rPr>
        <sz val="8"/>
        <color rgb="FF000000"/>
        <rFont val="Meiryo UI"/>
        <family val="3"/>
        <charset val="128"/>
      </rPr>
      <t>'-一般的なエラー:
-グリッド画面に関する知識が不足しているため、スクリーンショットの欠落と機能の問題が発生します。
-テストケースの欠落
理由:
-低品質は、グリッド画面で初めて作業したためです。
-初めて不足しているテストケースが発生しました。
- Lack of know-how due to tasks are assigned was not covered during OJT/ KT..</t>
    </r>
  </si>
  <si>
    <t xml:space="preserve">- High Productivity Score
- Completed 50% or 2/4 of assigned tasks.
- Delays are due to QAs and FXS review.
- Team contribution is good also by providing emotional support.
- Member tried to catch-up with his tasks and rendered 34hours of OT last week.
- Kaizen: 2 PGs done, working 2 PTS/PTE. Niigata tasks are blocked due missing assets.
- Improvement plan:Yokotenkai on grid screens. Sharing of best practices  on Missing Test Cases
'-高生産性スコア
-割り当てられたタスクの50%または2/4を完了しました。
-遅延はQAおよびFXSレビューによるものです。
-チームの貢献は、精神的なサポートを提供することによっても良い。
-メンバーは自分のタスクに追いつこうとし、先週34時間のOTを行った。
-改善:2つのPGが完了し、2つのPTS/PTEを実行中。新潟タスクは、資産の欠落によりブロックされています。
-改善計画:グリッドスクリーン上の横天海。テストケースの欠落に関するベストプラクティスの共有
---
Additiional Justification:
- Encountered  2 "QA where self-resolution is expected through guidance" and "QA difficult to self-solve". This take too much time on consultation and investigation. 
</t>
  </si>
  <si>
    <t>Kumamoto
N202N50</t>
  </si>
  <si>
    <t>Kumamoto
N214240</t>
  </si>
  <si>
    <t>Kumamoto
N214241</t>
  </si>
  <si>
    <t>Kumamoto
Z203M70</t>
  </si>
  <si>
    <t>Siongco, Sheila</t>
  </si>
  <si>
    <t>Pimentel, Antonietta</t>
  </si>
  <si>
    <t>Team F</t>
    <phoneticPr fontId="3"/>
  </si>
  <si>
    <t>Michael Lee</t>
    <phoneticPr fontId="16"/>
  </si>
  <si>
    <t>quantitative evaluation score</t>
  </si>
  <si>
    <t>MY
evaluation
(◎/○/△/×)</t>
  </si>
  <si>
    <t>Chun Yee, Joey Tan</t>
  </si>
  <si>
    <t>Jr</t>
    <phoneticPr fontId="10"/>
  </si>
  <si>
    <r>
      <rPr>
        <b/>
        <sz val="8"/>
        <color rgb="FF000000"/>
        <rFont val="Meiryo UI"/>
        <family val="3"/>
        <charset val="128"/>
      </rPr>
      <t xml:space="preserve">Productivity: &gt; </t>
    </r>
    <r>
      <rPr>
        <sz val="8"/>
        <color rgb="FF000000"/>
        <rFont val="Meiryo UI"/>
        <family val="3"/>
        <charset val="128"/>
      </rPr>
      <t xml:space="preserve">70%. Good
</t>
    </r>
    <r>
      <rPr>
        <b/>
        <sz val="8"/>
        <color rgb="FF000000"/>
        <rFont val="Meiryo UI"/>
        <family val="3"/>
        <charset val="128"/>
      </rPr>
      <t>Quality:</t>
    </r>
    <r>
      <rPr>
        <sz val="8"/>
        <color rgb="FF000000"/>
        <rFont val="Meiryo UI"/>
        <family val="3"/>
        <charset val="128"/>
      </rPr>
      <t xml:space="preserve"> 0.1 Ks over 6 app erro. Average.
</t>
    </r>
    <r>
      <rPr>
        <b/>
        <sz val="8"/>
        <color rgb="FF000000"/>
        <rFont val="Meiryo UI"/>
        <family val="3"/>
        <charset val="128"/>
      </rPr>
      <t>On-time completion rate:</t>
    </r>
    <r>
      <rPr>
        <sz val="8"/>
        <color rgb="FF000000"/>
        <rFont val="Meiryo UI"/>
        <family val="3"/>
        <charset val="128"/>
      </rPr>
      <t xml:space="preserve"> 0%
</t>
    </r>
    <r>
      <rPr>
        <b/>
        <sz val="8"/>
        <color rgb="FF000000"/>
        <rFont val="Meiryo UI"/>
        <family val="3"/>
        <charset val="128"/>
      </rPr>
      <t>Team Contribution:</t>
    </r>
    <r>
      <rPr>
        <sz val="8"/>
        <color rgb="FF000000"/>
        <rFont val="Meiryo UI"/>
        <family val="3"/>
        <charset val="128"/>
      </rPr>
      <t xml:space="preserve"> 
- Constant communication </t>
    </r>
  </si>
  <si>
    <t>New Joiner to company. Still taking time to get used to the development process. 
Member is concerned about delivering and rushes his tasks. As a result, self-check not enough, took many reviews to get it right.</t>
  </si>
  <si>
    <t>QA8件。うちPJQA4件。
自己解決が難しいQAが多く、問題ない。</t>
    <rPh sb="15" eb="19">
      <t>ジコカイケツ</t>
    </rPh>
    <rPh sb="20" eb="21">
      <t>ムズカ</t>
    </rPh>
    <rPh sb="26" eb="27">
      <t>オオ</t>
    </rPh>
    <rPh sb="29" eb="31">
      <t>モンダイ</t>
    </rPh>
    <phoneticPr fontId="10"/>
  </si>
  <si>
    <t>Task1:5件、テストケース過多/不足、テストエビデンス不足
Task2:0件、
Task3:8件、テストケース過多/不足、テストエビデンス不足、単純ミス
Task4:6件、テストケース過多/不足、テストエビデンス不足、単純ミス
Task5:1件、エビデンス改善要</t>
  </si>
  <si>
    <t>LOW QUALITY EXPLANATION
New Joiner to company. Still taking time to get used to the development process. 
Member is concerned about delivering and rushes his tasks. As a result, self-check not enough, took many reviews to get it right.(Quality improvement is needed by additional countermeasure)</t>
  </si>
  <si>
    <t>High Productivity. 
Proactive: Tasks are started ahead of time.
Highly responsive: Responsed to QA and Review Fix quickly.
High commitment: Willing to spend extra time to finish tasks that are close to deadline.
Team collaboaration good: Always communicating with Seniors and help other members</t>
  </si>
  <si>
    <t>N/A. Member is productive and on-time but lacks accuracy. Advised to learn from mistakes and check past review/QA items from time-to-time.</t>
  </si>
  <si>
    <t>Kumamoto
KU84610</t>
  </si>
  <si>
    <t>Kumamoto
N284620</t>
  </si>
  <si>
    <t>Kumamoto
N284640</t>
  </si>
  <si>
    <t>Kumamoto
N284670</t>
  </si>
  <si>
    <t>Kumamoto
N202500</t>
  </si>
  <si>
    <t>De Bei, Koh</t>
  </si>
  <si>
    <t>Mid</t>
    <phoneticPr fontId="10"/>
  </si>
  <si>
    <r>
      <rPr>
        <b/>
        <sz val="8"/>
        <color rgb="FF000000"/>
        <rFont val="Meiryo UI"/>
        <family val="3"/>
        <charset val="128"/>
      </rPr>
      <t xml:space="preserve">Productivity: &gt; </t>
    </r>
    <r>
      <rPr>
        <sz val="8"/>
        <color rgb="FF000000"/>
        <rFont val="Meiryo UI"/>
        <family val="3"/>
        <charset val="128"/>
      </rPr>
      <t xml:space="preserve">70%. Good
</t>
    </r>
    <r>
      <rPr>
        <b/>
        <sz val="8"/>
        <color rgb="FF000000"/>
        <rFont val="Meiryo UI"/>
        <family val="3"/>
        <charset val="128"/>
      </rPr>
      <t>Quality:</t>
    </r>
    <r>
      <rPr>
        <sz val="8"/>
        <color rgb="FF000000"/>
        <rFont val="Meiryo UI"/>
        <family val="3"/>
        <charset val="128"/>
      </rPr>
      <t xml:space="preserve"> 0.7 Ks over 12 app erro. Average.
</t>
    </r>
    <r>
      <rPr>
        <b/>
        <sz val="8"/>
        <color rgb="FF000000"/>
        <rFont val="Meiryo UI"/>
        <family val="3"/>
        <charset val="128"/>
      </rPr>
      <t>Team Contribution:</t>
    </r>
    <r>
      <rPr>
        <sz val="8"/>
        <color rgb="FF000000"/>
        <rFont val="Meiryo UI"/>
        <family val="3"/>
        <charset val="128"/>
      </rPr>
      <t xml:space="preserve"> 
- Provide support for Transfer Team. 
- Provide CN-&gt;EN Translation for Reviews </t>
    </r>
  </si>
  <si>
    <t>New Joiner to company. Still taking time to get used to the development process. Additionally, the task is complex and took many reviews to get it right.
Member is also a little distracted because advising Transfer Team.</t>
  </si>
  <si>
    <t>QA5件。うちPJQA1件。
テスト方式に関する問い合わせが多く、ロジックに関する質問は少ない。</t>
    <rPh sb="18" eb="20">
      <t>ホウシキ</t>
    </rPh>
    <rPh sb="21" eb="22">
      <t>カン</t>
    </rPh>
    <rPh sb="24" eb="25">
      <t>ト</t>
    </rPh>
    <rPh sb="26" eb="27">
      <t>ア</t>
    </rPh>
    <rPh sb="30" eb="31">
      <t>オオ</t>
    </rPh>
    <rPh sb="38" eb="39">
      <t>カン</t>
    </rPh>
    <rPh sb="41" eb="43">
      <t>シツモン</t>
    </rPh>
    <rPh sb="44" eb="45">
      <t>スク</t>
    </rPh>
    <phoneticPr fontId="10"/>
  </si>
  <si>
    <t>熊本
Task1:5件、画面編集ミス、テストケース過多/不足、エビデンス改善要、単純ミス
Task2:9件、テストケース過多/不足、エビデンス改善要、テストエビデンス不足、テストデータ不備、単純ミス
船橋
Task1:5件、チェックリスト記入不足、テストケース過多/不足、画面編集ミス、テストエビデンス不足、納品資産の不足</t>
  </si>
  <si>
    <t>LOW QUALITY EXPLANATION
New Joiner to company. Still taking time to get used to the development process. Additionally, the task is complex and took many reviews to get it right.
Member is also a little distracted because advising Transfer Team.
(Quality improvement is needed by additional countermeasure)</t>
  </si>
  <si>
    <t>Kumamoto
N240040</t>
  </si>
  <si>
    <t>Kumamoto
N240041</t>
  </si>
  <si>
    <t>Hor Guang Yao</t>
  </si>
  <si>
    <r>
      <rPr>
        <b/>
        <sz val="8"/>
        <color rgb="FF000000"/>
        <rFont val="Meiryo UI"/>
        <family val="3"/>
        <charset val="128"/>
      </rPr>
      <t xml:space="preserve">Productivity: </t>
    </r>
    <r>
      <rPr>
        <sz val="8"/>
        <color rgb="FF000000"/>
        <rFont val="Meiryo UI"/>
        <family val="3"/>
        <charset val="128"/>
      </rPr>
      <t xml:space="preserve">Tasks not completed. N/A
</t>
    </r>
    <r>
      <rPr>
        <b/>
        <sz val="8"/>
        <color rgb="FF000000"/>
        <rFont val="Meiryo UI"/>
        <family val="3"/>
        <charset val="128"/>
      </rPr>
      <t>Quality:</t>
    </r>
    <r>
      <rPr>
        <sz val="8"/>
        <color rgb="FF000000"/>
        <rFont val="Meiryo UI"/>
        <family val="3"/>
        <charset val="128"/>
      </rPr>
      <t xml:space="preserve"> Tasks not completed. N/A
</t>
    </r>
    <r>
      <rPr>
        <b/>
        <sz val="8"/>
        <color rgb="FF000000"/>
        <rFont val="Meiryo UI"/>
        <family val="3"/>
        <charset val="128"/>
      </rPr>
      <t>Team Contribution:</t>
    </r>
    <r>
      <rPr>
        <sz val="8"/>
        <color rgb="FF000000"/>
        <rFont val="Meiryo UI"/>
        <family val="3"/>
        <charset val="128"/>
      </rPr>
      <t xml:space="preserve"> 
- Not participative.</t>
    </r>
  </si>
  <si>
    <t>New Joiner to company. Still taking time to get used to the development process. 
Member has bad Ho-Ren-So, does not communicate his task issues to TL and has bad discipline.
TL is not happy with his progress, and recommended his release.</t>
  </si>
  <si>
    <t>Tasks are reassigned to Senior members</t>
  </si>
  <si>
    <t>Kumamoto
KU03040</t>
  </si>
  <si>
    <t>Kumamoto
KU03041</t>
  </si>
  <si>
    <t>Kumamoto
KU03042</t>
  </si>
  <si>
    <t>Kumamoto
KU03046</t>
  </si>
  <si>
    <t>Ng Jing Wen</t>
  </si>
  <si>
    <r>
      <rPr>
        <b/>
        <sz val="8"/>
        <color rgb="FF000000"/>
        <rFont val="Meiryo UI"/>
        <family val="3"/>
        <charset val="128"/>
      </rPr>
      <t xml:space="preserve">Productivity: &gt; </t>
    </r>
    <r>
      <rPr>
        <sz val="8"/>
        <color rgb="FF000000"/>
        <rFont val="Meiryo UI"/>
        <family val="3"/>
        <charset val="128"/>
      </rPr>
      <t xml:space="preserve">70%. Good
</t>
    </r>
    <r>
      <rPr>
        <b/>
        <sz val="8"/>
        <color rgb="FF000000"/>
        <rFont val="Meiryo UI"/>
        <family val="3"/>
        <charset val="128"/>
      </rPr>
      <t>Quality:</t>
    </r>
    <r>
      <rPr>
        <sz val="8"/>
        <color rgb="FF000000"/>
        <rFont val="Meiryo UI"/>
        <family val="3"/>
        <charset val="128"/>
      </rPr>
      <t xml:space="preserve"> 0.2 Ks over 4 app error. Good.
</t>
    </r>
    <r>
      <rPr>
        <b/>
        <sz val="8"/>
        <color rgb="FF000000"/>
        <rFont val="Meiryo UI"/>
        <family val="3"/>
        <charset val="128"/>
      </rPr>
      <t>Team Contribution:</t>
    </r>
    <r>
      <rPr>
        <sz val="8"/>
        <color rgb="FF000000"/>
        <rFont val="Meiryo UI"/>
        <family val="3"/>
        <charset val="128"/>
      </rPr>
      <t xml:space="preserve"> 
- Constant communication, good attitude. 
- Provide CN-&gt; EN Translation for Review</t>
    </r>
  </si>
  <si>
    <t>New Joiner to company. Still taking time to get used to the development process. But member is consistent in communication, raise issues when encounter problems.</t>
  </si>
  <si>
    <t>QA8件。うちPJQA3件。
QA内容のほとんどはデータ伴うもので、調査もできており問題ない。</t>
    <phoneticPr fontId="10"/>
  </si>
  <si>
    <t>熊本
Task1:5件、テストケース過多/不足、テストエビデンス不足、単純ミス
Task2:1件、テストケース理解不足
Task3:2件、テストケース過多/不足、テストデータ不備
Task4:4件、チェックリスト記入不足、テストケース過多/不足、単純ミス
船橋
Task1:4件、テストエビデンス不足、単純ミス</t>
  </si>
  <si>
    <t>LOW QUALITY EXPLANATION
New Joiner to company. Still taking time to get used to the development process. Skill level is low compared to other members. Tasks took many reviews to get it right.
(Quality improvement is needed by additional countermeasure)</t>
  </si>
  <si>
    <t>Kumamoto
N240200</t>
  </si>
  <si>
    <t>Kumamoto
N240230</t>
  </si>
  <si>
    <t>Kumamoto
N240380</t>
  </si>
  <si>
    <t>Kumamoto
N240400</t>
  </si>
  <si>
    <t>Teo Jun Jie</t>
  </si>
  <si>
    <r>
      <rPr>
        <b/>
        <sz val="8"/>
        <color rgb="FF000000"/>
        <rFont val="Meiryo UI"/>
        <family val="3"/>
        <charset val="128"/>
      </rPr>
      <t xml:space="preserve">Productivity: &gt; </t>
    </r>
    <r>
      <rPr>
        <sz val="8"/>
        <color rgb="FF000000"/>
        <rFont val="Meiryo UI"/>
        <family val="3"/>
        <charset val="128"/>
      </rPr>
      <t xml:space="preserve">100%. Good
</t>
    </r>
    <r>
      <rPr>
        <b/>
        <sz val="8"/>
        <color rgb="FF000000"/>
        <rFont val="Meiryo UI"/>
        <family val="3"/>
        <charset val="128"/>
      </rPr>
      <t>Quality:</t>
    </r>
    <r>
      <rPr>
        <sz val="8"/>
        <color rgb="FF000000"/>
        <rFont val="Meiryo UI"/>
        <family val="3"/>
        <charset val="128"/>
      </rPr>
      <t xml:space="preserve"> 1.6 Ks over 6 app erro. Average.
</t>
    </r>
    <r>
      <rPr>
        <b/>
        <sz val="8"/>
        <color rgb="FF000000"/>
        <rFont val="Meiryo UI"/>
        <family val="3"/>
        <charset val="128"/>
      </rPr>
      <t>On-time completion rate:</t>
    </r>
    <r>
      <rPr>
        <sz val="8"/>
        <color rgb="FF000000"/>
        <rFont val="Meiryo UI"/>
        <family val="3"/>
        <charset val="128"/>
      </rPr>
      <t xml:space="preserve"> 0%
</t>
    </r>
    <r>
      <rPr>
        <b/>
        <sz val="8"/>
        <color rgb="FF000000"/>
        <rFont val="Meiryo UI"/>
        <family val="3"/>
        <charset val="128"/>
      </rPr>
      <t>Team Contribution:</t>
    </r>
    <r>
      <rPr>
        <sz val="8"/>
        <color rgb="FF000000"/>
        <rFont val="Meiryo UI"/>
        <family val="3"/>
        <charset val="128"/>
      </rPr>
      <t xml:space="preserve"> 
- Provide support for Transfer Team. </t>
    </r>
  </si>
  <si>
    <t xml:space="preserve">Member is over-analyzing and is not careful enough. Missing steps if  without constant supervision from leader.
Focussed on delivering on time, but lacking accuracy.
</t>
  </si>
  <si>
    <t>Task1:6件、テストデータ不備、テストケース理解不足,画面編集ミス、テストケース過多/不足、納品資産の不足
Task2:5件、テストケース過多/不足、画面編集ミス、単純ミス、テストケース理解不足エビデンス改善要
Task3:5件、テストケース過多/不足、画面編集ミス、単純ミス
Task4:1件、構成資産一覧記入不足</t>
  </si>
  <si>
    <t>LOW QUALITY EXPLANATION
Due to 1 task KU240350. This task has the lowest error count. But because the KS is low in comparison to task difficulty, the resulting quality score is affected.</t>
  </si>
  <si>
    <t>Kumamoto
KU03020</t>
  </si>
  <si>
    <t>Kumamoto
KU03021</t>
  </si>
  <si>
    <t>Kumamoto
N240350</t>
  </si>
  <si>
    <t>Chou Ka Weng</t>
  </si>
  <si>
    <t>Kumamoto
KU05M10</t>
  </si>
  <si>
    <t>Kumamoto
N240130</t>
  </si>
  <si>
    <t>Darren Lim Wan Loon</t>
  </si>
  <si>
    <t>Kumamoto
KU84510</t>
  </si>
  <si>
    <t>Winsome Ng</t>
  </si>
  <si>
    <t>`</t>
  </si>
  <si>
    <t>Kumamoto
KU03290</t>
  </si>
  <si>
    <t>Kumamoto
N240390</t>
  </si>
  <si>
    <t>Kumamoto
N240430</t>
  </si>
  <si>
    <t>ALLメンバ</t>
    <phoneticPr fontId="10"/>
  </si>
  <si>
    <t>オンサイトメンバ</t>
    <phoneticPr fontId="10"/>
  </si>
  <si>
    <t>テレワークメンバ</t>
    <phoneticPr fontId="10"/>
  </si>
  <si>
    <t>Score</t>
    <phoneticPr fontId="10"/>
  </si>
  <si>
    <t>RTO</t>
    <phoneticPr fontId="10"/>
  </si>
  <si>
    <t>TW</t>
    <phoneticPr fontId="10"/>
  </si>
  <si>
    <t>Evaluation</t>
  </si>
  <si>
    <t>Score Range</t>
  </si>
  <si>
    <t>Team</t>
  </si>
  <si>
    <t>◎/○/△/×</t>
  </si>
  <si>
    <t>from</t>
  </si>
  <si>
    <t>to</t>
  </si>
  <si>
    <t>A</t>
  </si>
  <si>
    <t>B</t>
  </si>
  <si>
    <t>C</t>
  </si>
  <si>
    <t>D</t>
  </si>
  <si>
    <t>E</t>
  </si>
  <si>
    <t>F</t>
  </si>
  <si>
    <t>sum</t>
  </si>
  <si>
    <t>PH　evaluation　(◎/○/△/×)</t>
    <phoneticPr fontId="10"/>
  </si>
  <si>
    <t>工程完了判定対象人数</t>
    <rPh sb="0" eb="4">
      <t>コウテイカンリョウ</t>
    </rPh>
    <rPh sb="4" eb="6">
      <t>ハンテイ</t>
    </rPh>
    <rPh sb="6" eb="8">
      <t>タイショウ</t>
    </rPh>
    <rPh sb="8" eb="10">
      <t>ニンズウ</t>
    </rPh>
    <phoneticPr fontId="10"/>
  </si>
  <si>
    <t>1/23 Score</t>
    <phoneticPr fontId="10"/>
  </si>
  <si>
    <t>判定日</t>
    <rPh sb="0" eb="3">
      <t>ハンテイビ</t>
    </rPh>
    <phoneticPr fontId="10"/>
  </si>
  <si>
    <t>残</t>
    <rPh sb="0" eb="1">
      <t>ザン</t>
    </rPh>
    <phoneticPr fontId="10"/>
  </si>
  <si>
    <t>1/31 Score</t>
    <phoneticPr fontId="10"/>
  </si>
  <si>
    <t>2/6 Score</t>
    <phoneticPr fontId="10"/>
  </si>
  <si>
    <t>2/22 Score</t>
    <phoneticPr fontId="10"/>
  </si>
  <si>
    <t>2/22 Score</t>
  </si>
  <si>
    <t>Pass</t>
  </si>
  <si>
    <t>Release</t>
  </si>
  <si>
    <r>
      <t>・Continue to conduct</t>
    </r>
    <r>
      <rPr>
        <sz val="8"/>
        <color rgb="FFFF0000"/>
        <rFont val="Meiryo UI"/>
        <family val="3"/>
        <charset val="128"/>
      </rPr>
      <t xml:space="preserve"> on-going task</t>
    </r>
    <r>
      <rPr>
        <sz val="8"/>
        <rFont val="Meiryo UI"/>
        <family val="3"/>
        <charset val="128"/>
      </rPr>
      <t xml:space="preserve"> on both Ikan and Kaizen assigned task</t>
    </r>
  </si>
  <si>
    <t>・There is possibility to be assigned in IPK-PRJ from FY-24</t>
  </si>
  <si>
    <t>Productivity vs Quality</t>
  </si>
  <si>
    <t>name</t>
  </si>
  <si>
    <t>Level</t>
  </si>
  <si>
    <t>P</t>
  </si>
  <si>
    <t>Q</t>
  </si>
  <si>
    <t>Released</t>
  </si>
  <si>
    <t>COMPLETED FOR REVIEW</t>
  </si>
  <si>
    <t>SCORE</t>
  </si>
  <si>
    <t>ブロッカーで完了予定日は未定</t>
  </si>
  <si>
    <t>レビュー待ちで完了予定日は未定</t>
  </si>
  <si>
    <t>全タスク完了済み</t>
  </si>
  <si>
    <t>Recovery Week 1</t>
  </si>
  <si>
    <t>Recovery Week 2</t>
  </si>
  <si>
    <t>Recovery Week 3</t>
  </si>
  <si>
    <t>Last Evaluation</t>
  </si>
  <si>
    <t>No</t>
  </si>
  <si>
    <t>Name</t>
  </si>
  <si>
    <t>Evaluation Result</t>
  </si>
  <si>
    <t>Evaluation Date</t>
  </si>
  <si>
    <t>No.
of
Task</t>
  </si>
  <si>
    <t>% Completion</t>
  </si>
  <si>
    <t>PH・MY
evaluation
(◎/○/△/×)</t>
  </si>
  <si>
    <t>Planned End
of Task - NO REVIEW</t>
  </si>
  <si>
    <t>Actual End
of Task with REVIEW</t>
  </si>
  <si>
    <t>Revised
Planned End
of Task - NO Review</t>
  </si>
  <si>
    <t>Planned End of Task with Review(+3MD)</t>
  </si>
  <si>
    <t>Remarks</t>
  </si>
  <si>
    <t>Incomplete
Task Count</t>
  </si>
  <si>
    <t>Blocked Task</t>
  </si>
  <si>
    <t>MD Remaining</t>
  </si>
  <si>
    <r>
      <t xml:space="preserve">Completion Date (with Review)
</t>
    </r>
    <r>
      <rPr>
        <sz val="8"/>
        <color rgb="FFFF0000"/>
        <rFont val="Meiryo UI"/>
        <family val="3"/>
        <charset val="128"/>
      </rPr>
      <t xml:space="preserve">Note: 100% attainment rate may be affected by resolution of blocked tasks </t>
    </r>
  </si>
  <si>
    <t>Breakdown by Completion Rate</t>
  </si>
  <si>
    <t>Breakdown by Current Score</t>
  </si>
  <si>
    <t>High Risk of not completing Ikan tasks before 2/22</t>
  </si>
  <si>
    <t>Carlos, Adelberth</t>
  </si>
  <si>
    <t>2nd PTE review (informed): N207421G</t>
  </si>
  <si>
    <t>TEAM</t>
  </si>
  <si>
    <t>80-99%</t>
  </si>
  <si>
    <t>50-79%</t>
  </si>
  <si>
    <t>10-49%</t>
  </si>
  <si>
    <t>&gt;10%</t>
  </si>
  <si>
    <t>Yes</t>
  </si>
  <si>
    <t>Almocera, Alexander</t>
  </si>
  <si>
    <t>2nd PTE Review (informed): N204111G</t>
  </si>
  <si>
    <t>1 released member</t>
  </si>
  <si>
    <r>
      <rPr>
        <sz val="8"/>
        <color rgb="FFFF0000"/>
        <rFont val="Meiryo UI"/>
        <family val="3"/>
        <charset val="128"/>
      </rPr>
      <t>2nd PTE review (informed): N203E90G</t>
    </r>
    <r>
      <rPr>
        <sz val="8"/>
        <rFont val="Meiryo UI"/>
        <family val="3"/>
        <charset val="128"/>
      </rPr>
      <t xml:space="preserve">
Blocked: PTE/PTS Task 5&amp;7</t>
    </r>
  </si>
  <si>
    <t>TOTAL</t>
  </si>
  <si>
    <t>Lopez, Jan-Louie</t>
  </si>
  <si>
    <t>2nd PTE review (informed): N240261G</t>
  </si>
  <si>
    <t>Cua, Jennifer</t>
    <phoneticPr fontId="10"/>
  </si>
  <si>
    <t>COMPLETED WITH REVIEW (+3MD)</t>
  </si>
  <si>
    <t>Total</t>
  </si>
  <si>
    <t>Ando, Jonathan</t>
  </si>
  <si>
    <t>2nd PTE Review (informed): N240111G</t>
  </si>
  <si>
    <t>Recovery Week 4</t>
  </si>
  <si>
    <t>Binalon, Jose Bonivir</t>
    <phoneticPr fontId="10"/>
  </si>
  <si>
    <t>PTE Fix: N207361G, N204381G
2nd PTE review (informed): N204100G</t>
    <phoneticPr fontId="10"/>
  </si>
  <si>
    <t>Amansec, Justine</t>
    <phoneticPr fontId="10"/>
  </si>
  <si>
    <t>2nd PTE review (informed): N205010G, N204160G</t>
  </si>
  <si>
    <r>
      <t xml:space="preserve">Dela Peña, Lester John
</t>
    </r>
    <r>
      <rPr>
        <sz val="7"/>
        <rFont val="Meiryo UI"/>
        <family val="3"/>
        <charset val="128"/>
      </rPr>
      <t>(Released)</t>
    </r>
    <phoneticPr fontId="10"/>
  </si>
  <si>
    <t>Ongoing Task: PTE6
2nd PTE review (informed): N205020G, KU12080G</t>
  </si>
  <si>
    <t>Hernandez, Marlou</t>
  </si>
  <si>
    <t>PTE Review (informed): N240211G</t>
  </si>
  <si>
    <t>Dimacali, Michaela</t>
  </si>
  <si>
    <t>2nd PTE Review (informed): N204440G</t>
  </si>
  <si>
    <t>Dino, Paul David</t>
  </si>
  <si>
    <t>Natuel, Ron Aldrian</t>
  </si>
  <si>
    <t>Tiongson, Tyron Ed</t>
  </si>
  <si>
    <t>Nacino, Victor</t>
  </si>
  <si>
    <t>Alcain, Ynfane Shairene</t>
  </si>
  <si>
    <t>Cuba, Carl Angelo</t>
  </si>
  <si>
    <t>Penalba, Deneil Carlo</t>
  </si>
  <si>
    <t>Torres, Eleazar</t>
  </si>
  <si>
    <t xml:space="preserve">Maminta, Gilbert Jay </t>
  </si>
  <si>
    <t>Fernandez, James Patrick</t>
  </si>
  <si>
    <t>Donato, Janssen</t>
  </si>
  <si>
    <t>Natad, Jennilyn</t>
  </si>
  <si>
    <t>-</t>
  </si>
  <si>
    <t>David, Jim Rhose</t>
  </si>
  <si>
    <t>Marasigan, Jimbo</t>
  </si>
  <si>
    <t>R</t>
  </si>
  <si>
    <t>Decena, Jomari</t>
  </si>
  <si>
    <t>Diesta, Jonald</t>
  </si>
  <si>
    <t>Bohol, Joshua</t>
  </si>
  <si>
    <t>Gacute, Ralph Edmund</t>
  </si>
  <si>
    <t>Magsino, Romel</t>
  </si>
  <si>
    <t>Mapalad, Vincent</t>
  </si>
  <si>
    <t>Catalma, Anna Marie</t>
    <phoneticPr fontId="10"/>
  </si>
  <si>
    <r>
      <t xml:space="preserve">PTS fix: KU06510G, N209050G 
</t>
    </r>
    <r>
      <rPr>
        <sz val="8"/>
        <color rgb="FFFF0000"/>
        <rFont val="Meiryo UI"/>
        <family val="3"/>
        <charset val="128"/>
      </rPr>
      <t>2nd PTE Review (informed):N203061G, N209020G</t>
    </r>
  </si>
  <si>
    <t>C</t>
    <phoneticPr fontId="10"/>
  </si>
  <si>
    <t>Bonifacio, Bonjour</t>
  </si>
  <si>
    <t>Palileo, Brendon Glenn</t>
  </si>
  <si>
    <t>PTE Review: N284680G</t>
  </si>
  <si>
    <t>Tuazon, Chrestian</t>
  </si>
  <si>
    <t>Buban, Christian</t>
  </si>
  <si>
    <t>Bauzon, Clarence</t>
    <phoneticPr fontId="10"/>
  </si>
  <si>
    <r>
      <t xml:space="preserve">Not started: PTE5
TL review:PTE3, PTE4
PG fix: N209200G
</t>
    </r>
    <r>
      <rPr>
        <sz val="8"/>
        <color rgb="FFFF0000"/>
        <rFont val="Meiryo UI"/>
        <family val="3"/>
        <charset val="128"/>
      </rPr>
      <t>PTE review (not started): N203080G
2nd review (informed): N209220G</t>
    </r>
  </si>
  <si>
    <t>Trabajo, David</t>
  </si>
  <si>
    <t>Manglicmot, Francis Cholo</t>
  </si>
  <si>
    <t>Zaldua, Jan Eman</t>
    <phoneticPr fontId="10"/>
  </si>
  <si>
    <t>PTE fix:N203111G, N212060G</t>
  </si>
  <si>
    <t>Rosario, Jason Paul</t>
  </si>
  <si>
    <t>Ortega, Jemuel Zohar</t>
  </si>
  <si>
    <t>Ducay, Joland Romano</t>
  </si>
  <si>
    <t>Fajardo, Jomari Ivan</t>
  </si>
  <si>
    <t>Narisma, Junar</t>
  </si>
  <si>
    <t>PTE Fix: N203C72G</t>
  </si>
  <si>
    <t>Piesta, Marck Jason</t>
    <phoneticPr fontId="10"/>
  </si>
  <si>
    <t>2nd PTE review (informed): N203A20G, N290050G</t>
  </si>
  <si>
    <t>Geronimo, Ralph Duane</t>
  </si>
  <si>
    <r>
      <rPr>
        <sz val="8"/>
        <rFont val="Meiryo UI"/>
        <family val="3"/>
        <charset val="128"/>
      </rPr>
      <t>PTE fix: N205150G, N240070G</t>
    </r>
    <r>
      <rPr>
        <sz val="8"/>
        <color rgb="FFFF0000"/>
        <rFont val="Meiryo UI"/>
        <family val="3"/>
        <charset val="128"/>
      </rPr>
      <t xml:space="preserve">
2nd PTE review (informed): N203350G</t>
    </r>
  </si>
  <si>
    <t>Atienza, Raven</t>
    <phoneticPr fontId="10"/>
  </si>
  <si>
    <t>Ongoing Task: PTE8
PTE fix: N203070G, N205040G</t>
  </si>
  <si>
    <t>Catoy, Sheila</t>
  </si>
  <si>
    <t>Dalisay, Charles Crisbert</t>
  </si>
  <si>
    <t>2nd PTE review (informed): N203PK1G</t>
  </si>
  <si>
    <t>Garon, Adrian Caleb</t>
  </si>
  <si>
    <t>Blocked: PTE10</t>
  </si>
  <si>
    <t>Ragot, Clarice Ivee</t>
  </si>
  <si>
    <t>Rodillas, Elaine</t>
  </si>
  <si>
    <t>Carlos, Ferdinand Louie</t>
  </si>
  <si>
    <t>2nd PTE review (informed): N203170,KU84060, KU01X10</t>
  </si>
  <si>
    <t>Sanchez, Jaysie Ben</t>
  </si>
  <si>
    <t>Tago, Joey</t>
  </si>
  <si>
    <t>Blocked: PTE10
PTE fix: KU03210, KU06M70</t>
  </si>
  <si>
    <t>Cortez, John</t>
  </si>
  <si>
    <r>
      <t>Ongoing Task: PTE7 (blocker recently solved)
TL review: PTE3, PG7/PTS 7 (blocker recently solved)
PTE fix: N203L70, N216110</t>
    </r>
    <r>
      <rPr>
        <sz val="8"/>
        <color rgb="FFFF0000"/>
        <rFont val="Meiryo UI"/>
        <family val="3"/>
        <charset val="128"/>
      </rPr>
      <t xml:space="preserve">
PTE review (not started): N214060</t>
    </r>
  </si>
  <si>
    <t>Ismael, Jose Fernando</t>
  </si>
  <si>
    <r>
      <t xml:space="preserve">2nd PTE review (informed): KU03D41
</t>
    </r>
    <r>
      <rPr>
        <sz val="8"/>
        <rFont val="Meiryo UI"/>
        <family val="3"/>
        <charset val="128"/>
      </rPr>
      <t>2nd fix: N214030</t>
    </r>
  </si>
  <si>
    <t>Tabia, Josue</t>
  </si>
  <si>
    <t>Dipon, Kate</t>
  </si>
  <si>
    <t>Budol, Kelly</t>
  </si>
  <si>
    <t>Yu, Kevin</t>
  </si>
  <si>
    <t>2nd PTE review (informed): KU02Y30</t>
  </si>
  <si>
    <t>Reanzares, Marco Nino</t>
  </si>
  <si>
    <t>Lotivio, Ramon Lorenzo</t>
  </si>
  <si>
    <t>Blocked: PTE2</t>
  </si>
  <si>
    <t>Dominguez, Randy</t>
  </si>
  <si>
    <t>PTE fix: N240211, N240210</t>
  </si>
  <si>
    <t>Jarangan, Raven Vince</t>
  </si>
  <si>
    <r>
      <t xml:space="preserve">Ongoing task: Task 5 (blocker recently resolved)
Not started: PTE9, PTE10 (blocker recently resolved)
Internal review: PG/PTS9, PG/PTS10
</t>
    </r>
    <r>
      <rPr>
        <sz val="8"/>
        <color rgb="FFFF0000"/>
        <rFont val="Meiryo UI"/>
        <family val="3"/>
        <charset val="128"/>
      </rPr>
      <t>2nd PTE review (informed): KU02030</t>
    </r>
  </si>
  <si>
    <t>Villafranca, Rchiebal Alberr</t>
  </si>
  <si>
    <t>Ongoing Task: Task 6 (blocker recently resolved)</t>
  </si>
  <si>
    <t>Bautista, William Wallace</t>
  </si>
  <si>
    <t>Internal review: PTE2 (previously blocked task)
Blocked: PTE8 (KU40280)</t>
  </si>
  <si>
    <t>Torres, R-jay Carl</t>
  </si>
  <si>
    <t>PTE fix: KU06551, KU06552</t>
  </si>
  <si>
    <t>Santos, Adrian Paul</t>
  </si>
  <si>
    <t>Austria, Anthony Ryan</t>
  </si>
  <si>
    <t xml:space="preserve">Batang, Christian </t>
  </si>
  <si>
    <t>Lallo, Ermilo</t>
  </si>
  <si>
    <t>2nd PTE review (informed): KU06510</t>
  </si>
  <si>
    <t>Added Screen IDs</t>
  </si>
  <si>
    <t>Catral, Hilario</t>
  </si>
  <si>
    <t>Payos, Joe Marie</t>
  </si>
  <si>
    <t>Cerbito, John Dennies</t>
  </si>
  <si>
    <t>Atijera, John Phillip</t>
  </si>
  <si>
    <t>PTE fix: KU02M61, KU02M60</t>
  </si>
  <si>
    <t>Baldorado, Joseph</t>
  </si>
  <si>
    <t>Barnuevo, Marlon</t>
  </si>
  <si>
    <t>2nd PTE Review (informed): N204120G (Funabashi)</t>
  </si>
  <si>
    <t>Estoperez, Mary Grace</t>
  </si>
  <si>
    <t>Jacinto, Peter Joshua</t>
  </si>
  <si>
    <t>Cordero, Remon Jay</t>
  </si>
  <si>
    <t>2nd PTE review: N202070</t>
  </si>
  <si>
    <t>Task2 for TL/Sr</t>
  </si>
  <si>
    <t>Gadiane, Ronie</t>
  </si>
  <si>
    <t>Blocked: PTS/PTE 2, PTS/PTE3</t>
  </si>
  <si>
    <t>Added Screen IDs,
Task 1 for TL/Sr</t>
  </si>
  <si>
    <t>Hapon, Ruzzel</t>
  </si>
  <si>
    <t>PTE fix: KU02NG0 
Blocked: PTE2 (N200470)</t>
  </si>
  <si>
    <t>Profugo, Trister Bryan</t>
  </si>
  <si>
    <t>Go, Zachary</t>
  </si>
  <si>
    <r>
      <rPr>
        <sz val="8"/>
        <color rgb="FF000000"/>
        <rFont val="Meiryo UI"/>
        <family val="3"/>
        <charset val="128"/>
      </rPr>
      <t xml:space="preserve">2nd PTE Fix:  N214241, </t>
    </r>
    <r>
      <rPr>
        <sz val="8"/>
        <color rgb="FFFF0000"/>
        <rFont val="Meiryo UI"/>
        <family val="3"/>
        <charset val="128"/>
      </rPr>
      <t>KU03M70</t>
    </r>
  </si>
  <si>
    <t>未判定</t>
  </si>
  <si>
    <t>Jan 23 Score</t>
  </si>
  <si>
    <t>Jan 31 Score</t>
  </si>
  <si>
    <t>Feb 6 Score</t>
  </si>
  <si>
    <t>&gt;3</t>
  </si>
  <si>
    <t>Hiroshima (A, B, C)</t>
  </si>
  <si>
    <t>Average Productivity</t>
  </si>
  <si>
    <t>Total KS</t>
  </si>
  <si>
    <t>Total Indication</t>
  </si>
  <si>
    <t>Kumamoto / Funabashi</t>
  </si>
  <si>
    <t>Team A</t>
  </si>
  <si>
    <t>Team B</t>
  </si>
  <si>
    <t>Team C</t>
  </si>
  <si>
    <t>Team D</t>
  </si>
  <si>
    <t>Team E</t>
  </si>
  <si>
    <t>Score
evaluation</t>
  </si>
  <si>
    <t>Reason</t>
  </si>
  <si>
    <t>Binalon, Jose Bonivir</t>
  </si>
  <si>
    <t>Release due to performance issue, lack of team collaboration.</t>
  </si>
  <si>
    <t>Passed</t>
  </si>
  <si>
    <t>Passed taking into consideration the small KStep affecting error app rate</t>
  </si>
  <si>
    <t>Absin, John Ershon</t>
  </si>
  <si>
    <t>Release due to low quality and productivity considering he is a TL</t>
  </si>
  <si>
    <t>Catalma, Anna Marie</t>
  </si>
  <si>
    <t>Release because the expectation for TL in terms of performance both productivity and quality is high so as not to affect the performance of other members.</t>
  </si>
  <si>
    <t>Passed considering improvements seen.</t>
  </si>
  <si>
    <t>Bauzon, Clarence</t>
  </si>
  <si>
    <t>Release because no progress at all. Low productivity and quality</t>
  </si>
  <si>
    <t>Zaldua, Jan Eman</t>
  </si>
  <si>
    <t>Passed considering some improvement seen.</t>
  </si>
  <si>
    <t>Release for not meeting the KPI.</t>
  </si>
  <si>
    <t xml:space="preserve">Release for not meeting the KPI. Improvement in score hardly seen. </t>
  </si>
  <si>
    <t>Release for not meeting the KPI productivity even if the quality score is not complete</t>
  </si>
  <si>
    <t>Passed for the improvements seen</t>
  </si>
  <si>
    <t>Passed. Relatively high app rate resulting in low quality due to small dev scale.</t>
  </si>
  <si>
    <t>Release due to low performance/not meeting KPI</t>
  </si>
  <si>
    <t>Released for not meeting the quality KPI (low quality)</t>
  </si>
  <si>
    <t>リリース日</t>
  </si>
  <si>
    <t>Phase</t>
  </si>
  <si>
    <t>未完了タスク（Incomplete Tasks）</t>
  </si>
  <si>
    <t>完了予定日
Target completion of ongoing tasks</t>
  </si>
  <si>
    <t>完了済み
Completed tasks</t>
  </si>
  <si>
    <t>レビュー待ち
Ongoing Review</t>
  </si>
  <si>
    <t>ブロッカーあり
Blocked Task</t>
  </si>
  <si>
    <t>Release Date</t>
  </si>
  <si>
    <t>仕掛中 (ongoing)</t>
  </si>
  <si>
    <t>未着手 (not started)</t>
  </si>
  <si>
    <t>Cua, Jennifer</t>
  </si>
  <si>
    <t>2月5日</t>
  </si>
  <si>
    <t>移管 (Ikan)</t>
  </si>
  <si>
    <t>All</t>
  </si>
  <si>
    <t>改善 (Kaizen)</t>
  </si>
  <si>
    <t>Amansec, Justine</t>
  </si>
  <si>
    <t>2月17日</t>
  </si>
  <si>
    <t>N205010G - 03/05/2024
N204160G - 03/05/2024</t>
  </si>
  <si>
    <t>RJ03K20G
RJ40020G
RJ03240G
N240040G
N240041G</t>
  </si>
  <si>
    <t xml:space="preserve">N205010G - 2nd PTE review (informed) 
N204160G - 2nd PTE review (informed) </t>
  </si>
  <si>
    <t>Dela Pena, Lester John</t>
  </si>
  <si>
    <t>Atienza, Raven</t>
  </si>
  <si>
    <t>2月7日</t>
  </si>
  <si>
    <t>N206570G - PTE</t>
  </si>
  <si>
    <t>N206570G - 03/04 Ongoing PTE</t>
  </si>
  <si>
    <t>KUJ1080G
KU06560G
N203070G
N205040G
N209060G</t>
  </si>
  <si>
    <t xml:space="preserve">N209110G - 2nd Review (Informed)
</t>
  </si>
  <si>
    <t>KUJ1080G: Raven→Jemuelに再割り当てた</t>
  </si>
  <si>
    <t>KUJ1080G (QA# 830)</t>
  </si>
  <si>
    <t>2月29日</t>
  </si>
  <si>
    <t>N202580 PTE5
KU03031 PTE9
KU03030 PTE10</t>
  </si>
  <si>
    <t>N202580 PTE5: 2/29.
KU03031 PTE9: 2/29.
KU03030 PTE10: 2/29.
KU02030 PTE2 - 2/28</t>
  </si>
  <si>
    <t>N206530 Task 1
N203440 Task 3
N206530 Task 4
N202490 Task 6
N202491 Task 7</t>
  </si>
  <si>
    <t>KU02030	 PTE2
N202580 PG5
KU03031 PG9
KU03030 PG10</t>
  </si>
  <si>
    <t>N202580: Raven → Iveeに再割り当てた KU03031: Raven →Adrianに再割り当てた
KU03030: Raven →　R-Jayに再割り当てた</t>
  </si>
  <si>
    <t>N202M80</t>
  </si>
  <si>
    <t>Hor, Guang Yao</t>
  </si>
  <si>
    <t>3月16日 (予定)</t>
  </si>
  <si>
    <t>RJ83220G 
N203170G</t>
  </si>
  <si>
    <t xml:space="preserve">N203VK0G </t>
  </si>
  <si>
    <t>RJ83220G - 3/8/2024
N203170G - 3/8/2024
N214250G - 3/8/2024</t>
  </si>
  <si>
    <t xml:space="preserve">N214250G </t>
  </si>
  <si>
    <t>3月8日 (予定)</t>
  </si>
  <si>
    <t>JGGへの依頼事項：昨日リリースと判断したチームBのAbsinさんですが、改善フェーズが終わるまで、レビューアーとしてキープさせていただけませんか？※というのも、チームBにおける残りのTLであるEmmaは、レビューができないためです
JGGからのご質問：生産性低い、品質低いTLは、メンバーの改善タスクを適切にレビュー対応できるのか。
PMからの回答：John Absin has completed QMS Subleader Review Training on 02/23. Since he will not work on Kaizen tasks, he can focus on review task and ensure quality. He can utilize the review findings analysis provided by PMO and take note of review points. John Absinは2/23のQMSサブリーダーのレビュートレーニングを受講済み。割り当てた改善タスクは他のメンバーにアサインされるので、メンバーのアウトプットのレビューに集中し、PMOが毎週提供するレビュー指摘の分析結果やレビューポイントなどを使うことで品質を保証できると思います。</t>
  </si>
  <si>
    <t xml:space="preserve">N207330G (PG, PTS Completed PH review)
</t>
  </si>
  <si>
    <t xml:space="preserve">N203D80G
N203C20G </t>
  </si>
  <si>
    <t xml:space="preserve">N207330G PTE - 03/04
</t>
  </si>
  <si>
    <t>N209050G - PTE Fix</t>
  </si>
  <si>
    <t xml:space="preserve">N209050G - 03/01 PTE Fix
</t>
  </si>
  <si>
    <t>KUJ1070G
KU06510G
N203060G
N203061G
N209020G</t>
  </si>
  <si>
    <t>Request: Adjust David Trabajo's workload to replace Anna as main reviewer for Kaizen
JGGへの依頼事項：Anna Catalmaの交代TLであるDavid Trabajoの改善タスク量の調整。</t>
  </si>
  <si>
    <t>N203480G - PTE</t>
  </si>
  <si>
    <t>N203590G
N203JA0G</t>
  </si>
  <si>
    <t>N203480G - 03/05</t>
  </si>
  <si>
    <t>3月13日 (予定)</t>
  </si>
  <si>
    <t>N205100G - PTE fix
N209220G - PTE fix
N203080G - PTE fix</t>
  </si>
  <si>
    <t>N205100G - 03/01
N209220G - 03/01
N203080G - 03/05</t>
  </si>
  <si>
    <t>KUJ1280G
KU067B0G</t>
  </si>
  <si>
    <t>N209220G - 2nd review (informed)</t>
  </si>
  <si>
    <t>Member is currently on two day emergency leave, estimated completion of ongoing task cannot be provided yet. Support will be provided from advanced members. 現在、メンバーは2日間の緊急休暇中であり、現在進行中のタスクの完了予定は未定。上級メンバーがサポートする。</t>
  </si>
  <si>
    <t>KU09020G
N204030G
N203680G
N203VY0G</t>
  </si>
  <si>
    <t>N206610G
N240250G</t>
  </si>
  <si>
    <t>KU09020G - 03/06
N204030G - 03/06
N203680G - 03/07
N203VY0G - 03/08</t>
  </si>
  <si>
    <t>N240440G
N207290G
N203G50G
N203V80G</t>
  </si>
  <si>
    <t>N240440G - 05/03
N207290G - 08/03
N203G50G - 06/03
N203V80G - 05/03</t>
  </si>
  <si>
    <t>N240440G - PTE1
N207290G - PG2
N203G50G - PG3</t>
  </si>
  <si>
    <t>3月15日 (予定)</t>
  </si>
  <si>
    <t>KU03C20 PTE6 - 3/6
KU03210 PTE7 - 3/7
KU40Y11 PTE9 - 3/8</t>
  </si>
  <si>
    <t>KU02100
KU03250
KU02050
N203R70
N20D150
KU06M70
KU40Y10</t>
  </si>
  <si>
    <t>KU03C20 PTE6
KU03210 PTE7
KU40Y11 PTE9</t>
  </si>
  <si>
    <t>KU12210 - PG2</t>
  </si>
  <si>
    <t>KU12210 - PTE2</t>
  </si>
  <si>
    <t>KU12210 - PG2 - 3/13
KU12210 - PTS2 - 3/13
KU12210 - PTE2 - 3/15</t>
  </si>
  <si>
    <t>KU84540 - Task 11 Kumamoto</t>
  </si>
  <si>
    <t>3月20日 (予定)</t>
  </si>
  <si>
    <t>N240410 PTE7 - 3/6
N240411 PTE8 - 3/8</t>
  </si>
  <si>
    <t xml:space="preserve">KU03E00 - Task 1
KU40600 - Task 2
KU02M10 - Task 3
KU03M80 - Task 4
KU03480 - Task 5
N250510 - PTE6 </t>
  </si>
  <si>
    <t>N240410 - PTE7</t>
  </si>
  <si>
    <t>N240411 -PTE8</t>
  </si>
  <si>
    <t>Question to JGG: Will Rchiebal wait for the resolution of 3 blocked tasks before release? Or OK to re-assign the task? 
JGGへの確認事項：Rchiebalのリリース日はブロッカーありの改善タスク（KU03120：PG1）の解決、タスク完了の後でしょうか。もしくは、改善タスクを他のメンバーにアサインしてもよいのか。</t>
  </si>
  <si>
    <t>KU03120 PG1</t>
  </si>
  <si>
    <t>KU03120 PG1
KU03120 PTS1
KU03120 PTE1</t>
  </si>
  <si>
    <t>KU03120 PG1 - 3/15
KU03120 PTS1 - 3/15
KU03120 PTE1 - 3/20</t>
  </si>
  <si>
    <t>KU03120 - PG1</t>
  </si>
  <si>
    <t>KU40280 - PTE8 - 3/8</t>
  </si>
  <si>
    <t>KU03110 - Task 1
KU03ML0 - Task 3
N203160 - Task 4
KU03160 - Task 5</t>
  </si>
  <si>
    <t>KU03111 - PTE2</t>
  </si>
  <si>
    <t>KU40280 - Task 8</t>
  </si>
  <si>
    <t>Question to JGG: Will William wait for the resolution of 3 blocked tasks before release? Or OK to re-assign the task? 
JGGへの確認事項：Williamのリリース日はブロッカーありの改善タスク（KU84520：PG1）の解決、タスク完了の後でしょうか。もしくは、改善タスクを他のメンバーにアサインしてもよいのか。</t>
  </si>
  <si>
    <t>KU08330 - PG2</t>
  </si>
  <si>
    <t>KU08330 - PTS2
KU08330 - PTE2</t>
  </si>
  <si>
    <t>KU08330 - PG2 - 3/11
KU08330 - PTS2 - 3/11
KU08330 - PTE2 - 3/15</t>
  </si>
  <si>
    <t>KU84520 - Task 9 Kumamoto</t>
  </si>
  <si>
    <t>3月19日 (予定)</t>
  </si>
  <si>
    <t xml:space="preserve">N202070 - PTE fix
</t>
  </si>
  <si>
    <t>N202070: 3/5/2024</t>
  </si>
  <si>
    <t>KU03MX0
N202C70
N202200
KU02X30</t>
  </si>
  <si>
    <t xml:space="preserve">KU05080 - ongoing PTE
KU05090 - On going PG
KU06170 - On going PG
KU06171 - On going PG
</t>
  </si>
  <si>
    <r>
      <t xml:space="preserve">KU05080: 3/11/2024
KU0509: 3/12/2024
KU06170: 3/3/2024
</t>
    </r>
    <r>
      <rPr>
        <sz val="10"/>
        <color rgb="FFFF0000"/>
        <rFont val="Meiryo UI"/>
        <family val="3"/>
        <charset val="128"/>
      </rPr>
      <t>KU06171: 3/18/2024</t>
    </r>
  </si>
  <si>
    <t>KU05080 - PG for review</t>
  </si>
  <si>
    <t>移管プロジェクト(Transfer PRJ)</t>
  </si>
  <si>
    <t>Charles Michael Ramos</t>
  </si>
  <si>
    <t>Until Completion 
of Current/Assigned Tasks</t>
  </si>
  <si>
    <t>N204050G
N203420G
N203500G
N204010G
N203A10G</t>
  </si>
  <si>
    <t>N203V70G
N204010G
N204020G
N204040G
N204120G
N204121G
N204122G
N211130G
N280C10G</t>
  </si>
  <si>
    <t>N202G60G</t>
  </si>
  <si>
    <t>N202G60G
** Task submitted to JGG</t>
  </si>
  <si>
    <t>Jerick Estipna</t>
  </si>
  <si>
    <t>N203890G
N203891G
N204810G
N204811G
N205100G
N205130G
N205131G
N205140G</t>
  </si>
  <si>
    <t>N203020G
N203270G
N203I60G
N203840G</t>
  </si>
  <si>
    <t>N203020G
N203270G
N203I60G
N203840G
** All Tasks submitted to JGG.</t>
  </si>
  <si>
    <t>John Christopher Hung</t>
  </si>
  <si>
    <t>N203690G</t>
  </si>
  <si>
    <t>N204130G</t>
  </si>
  <si>
    <t>N201010G
N203170G
N203600G
N203680G</t>
  </si>
  <si>
    <t>N204130G (Submitted to FXS 03/12)</t>
  </si>
  <si>
    <t>N201010G
N203170G
N203600G
N203680G
** All Tasks submitted to JGG.</t>
  </si>
  <si>
    <t>Nimrod Abrigo</t>
  </si>
  <si>
    <t>N203450G
N202790G</t>
  </si>
  <si>
    <t>N203570G
N204080G
N204081G
N204240G
N204250G
N205580G
N207080G
N207090G</t>
  </si>
  <si>
    <t>N203230G
N203W20G</t>
  </si>
  <si>
    <t>JA02I10G (Submitted to FXS 03/12 for confirmation)</t>
  </si>
  <si>
    <t>N203230G
N203W20G
** All Task submitted to JGG</t>
  </si>
  <si>
    <t>Nigelle Alfeche</t>
  </si>
  <si>
    <t>N202D90G</t>
  </si>
  <si>
    <t>N202E10G
N204630G
N204631G
N204670G
N204680G
N204820G
N211010G
N211260G
N280C40G</t>
  </si>
  <si>
    <t>N202521G
N203XA0G
N214060G
N202800G</t>
  </si>
  <si>
    <t>N202521G
N203XA0G
N214060G
N202800G
** All Task submitted to JGG</t>
  </si>
  <si>
    <t>Rienelle Rae Akeem Delgado</t>
  </si>
  <si>
    <t>KU03J80G
TK03090G (Addressing RPs)
N204470G (Addressing RPs)
N203440G</t>
  </si>
  <si>
    <t xml:space="preserve">N202750G N203V10G
N203V11G
N203V20G
N203V30G
N203V40G
N205630G
N207140G
N207150G
N211150G
</t>
  </si>
  <si>
    <t>KU03J80G</t>
  </si>
  <si>
    <t>KU03J80G
** Task submitted to JGG</t>
  </si>
  <si>
    <t>Roselito Sicsic</t>
  </si>
  <si>
    <t xml:space="preserve">
N202670G
N202970G
N202980G</t>
  </si>
  <si>
    <t>N214060G 
N202990G
N203VR0G
N203VR1G
N214030G
N214031G
N214050G</t>
  </si>
  <si>
    <t>N203L70G
N203X30G
** Task submitted to JGG</t>
  </si>
  <si>
    <t>High Risk</t>
  </si>
  <si>
    <t>Actual End
of Task with REVIEW(+3MD)</t>
  </si>
  <si>
    <t>PTS/PTE4</t>
  </si>
  <si>
    <t>PTS/PTE3, PTS/PTE5, PTS/PTE6</t>
  </si>
  <si>
    <t>Task 6</t>
  </si>
  <si>
    <t>PTE4</t>
  </si>
  <si>
    <t>PTE7</t>
  </si>
  <si>
    <t>PTE6</t>
  </si>
  <si>
    <t>PTE2</t>
  </si>
  <si>
    <t>Task 11</t>
  </si>
  <si>
    <t>PTE6, PTE7, PTE10</t>
  </si>
  <si>
    <t>PTE3, Task7</t>
  </si>
  <si>
    <t>PTE2, PTE3</t>
  </si>
  <si>
    <t>PTS/PTE2</t>
  </si>
  <si>
    <t>PTS/PTE1, PTS/PTE4</t>
  </si>
  <si>
    <t>PTS/PTE4, PTS/PTE6</t>
  </si>
  <si>
    <t>Transition PRJ</t>
    <phoneticPr fontId="10"/>
  </si>
  <si>
    <t>Kira,Gelo,Mcl</t>
    <phoneticPr fontId="10"/>
  </si>
  <si>
    <t>PH/MY</t>
  </si>
  <si>
    <t>Target of evaluation
(March 1)</t>
  </si>
  <si>
    <t>Total evaluation
(March 1)</t>
  </si>
  <si>
    <t>Brian Rhoy Santos</t>
  </si>
  <si>
    <t>PH</t>
  </si>
  <si>
    <t>Member has High Productivity Completing 5/6 Tasks in Ikan Phase and also have advance Tasks in Okayama (Kaizen). 
Member  has low quality with several indications all of which have been addressed.
生産性の高いメンバーは、衣冠フェーズで5/6のタスクを完了し、岡山 (カイゼン) のアドバンスタスクを持っています。
メンバの品質が低く、いくつかの兆候がありますが、すべて対処済みです。</t>
  </si>
  <si>
    <t>Member is the Team Leader and have several tasks aside from development. 
Member performs internal review for the team together with Senior Members and provdes learning sessions with the team on a regular basis. Also conducts one on one sessions with members to discuss status and project targets.
メンバーはチームリーダーであり、開発以外にもいくつかのタスクを持っています。
メンバーは、シニアメンバーと共にチームの内部レビューを行い、定期的にチームとの学習セッションを提供します。また、メンバーと1対1のセッションを行い、状況やプロジェクトの目標について話し合います。</t>
  </si>
  <si>
    <t>船橋
Task1:5件、納品資産の不足、仕様書雛形の選択ミス、エビデンス改善要、単純ミス
Task2:4件、仕様書雛形の選択ミス、納品資産の不足、テストエビデンス不足
Task3:11件、テストケース過多/不足、単純ミス、テストエビデンス不足、テストケース理解不足
岡山
Task1:7件、テストケース過多/不足、テストケース理解不足、エビデンス改善要,納品資産の不足
Task2:4件、テストケース過多/不足、エビデンス改善要,納品資産の不足</t>
  </si>
  <si>
    <t>Member is new to the company and the 
development process in general. Had a significant learning curve and needed time in understanding coding rules and standards contributing to his delays.
He also takes time to guide and look at the work of the other members while performing his own tasks. 
メンバーはこの会社に入社したばかりで、
開発プロセス全般。かなりの学習曲線があり、コーディング規則と標準を理解するのに時間がかかり、遅れの原因となった。
また、自分の仕事をしながら、他のメンバーの仕事を指導したり、見たりする時間もあります。</t>
  </si>
  <si>
    <t>Member is the Team Leader and have several tasks aside from development. 
Member has completed 83.3% of his tasks (5/6) and has also advance tasks for the Kaizen Phase.
Member performs internal review for the team together with Senior Members and provdes learning sessions with the team on a regular basis. Also conducts one on one sessions with members to discuss status and project targets.
メンバーはチームリーダーであり、開発以外にもいくつかのタスクを持っています。
メンバーはタスクの83.3% (5/6) を完了し、改善フェーズのタスクも進めています。
メンバーは、シニアメンバーと共にチームの内部レビューを行い、定期的にチームとの学習セッションを提供します。また、メンバーと1対1のセッションを行い、状況やプロジェクトの目標について話し合います。</t>
  </si>
  <si>
    <t>3/7 Tasks have been complete for the Ikan Phase.Productivity is low at 36.7%
Charles is participative in team discussions but seems to lack self confidence which results in him having to wait for confirmation from others
3/7計画フェーズのタスクが完了しました。生産性は36.7%と低い
Charlesはチームの議論に参加しているが、自信がないようで、他の人からの確認を待たなければならない。</t>
  </si>
  <si>
    <t>The Member is new to the company and the development process in general. Had a significant learning curve and needed time in understanding coding rules and standards contributing to his delays.
Charles has a tendency to rely on others and waits for others to recommend solutions to issues. Needs to improve confidence and self reliance.
メンバーは、会社と開発プロセス全般に慣れていません。かなりの学習曲線があり、コーディング規則と標準を理解するのに時間がかかり、遅れの原因となった。
チャールズは他人に頼る傾向があり、他人が問題の解決策を提案してくれるのを待つ。自信と自立を向上させる必要がある。</t>
  </si>
  <si>
    <t>船橋
Task1:9件、画面編集ミス、単純ミス、テストエビデンス不足,構成資産一覧記入不足</t>
  </si>
  <si>
    <r>
      <t>The Member is new to the company and the development process in general. Had a significant learning curve and needed time in understanding coding rules and standards contributing to his delays.
Charles took too long trying to resolve issues and had to do several rework in tasks because he did not ask help from others on the team.
メンバーは、会社と開発プロセス全般に慣れていません。かなりの学習曲線があり、コーディング規則と標準を理解するのに時間がかかり、遅れの原因となった。
Charles氏は</t>
    </r>
    <r>
      <rPr>
        <sz val="8"/>
        <color rgb="FFFF0000"/>
        <rFont val="Meiryo UI"/>
        <family val="3"/>
        <charset val="128"/>
      </rPr>
      <t>問題の解決に時間がかかりすぎて、チームの他の人に助けを求めなかったため、いくつかのタスクをやり直す必要</t>
    </r>
    <r>
      <rPr>
        <sz val="8"/>
        <color rgb="FF000000"/>
        <rFont val="Meiryo UI"/>
        <family val="3"/>
        <charset val="128"/>
      </rPr>
      <t>がありました。</t>
    </r>
  </si>
  <si>
    <t>Jeffreson Salvador</t>
  </si>
  <si>
    <t>Member has High Productivity Completing 5/6 Tasks in Ikan Phase and also have advance Tasks in Okayama (Kaizen). 
Member is also performing well in terms of his quality of work.
生産性の高いメンバーは、衣冠フェーズで5/6のタスクを完了し、岡山 (カイゼン) のアドバンスタスクを持っています。
メンバーは仕事の質の面でもよくやっている。</t>
  </si>
  <si>
    <t>The Member is new to the company and the development process in general. Had a significant learning curve and needed time in understanding coding rules and standards contributing to his delays.
メンバーは、会社と開発プロセス全般に慣れていません。かなりの学習曲線があり、コーディング規則と標準を理解するのに時間がかかり、遅れの原因となった。</t>
  </si>
  <si>
    <t>船橋
Task1:6件、テストケース過多/不足、テストエビデンス不足
Task2:16件、テストケース過多/不足、画面編集ミス、テストエビデンス不足、エビデンス改善要,構成資産一覧記入不足
Task3:5件、テストエビデンス不足、エビデンス改善要,構成資産一覧記入不足,納品資産の不足
岡山
Task1:5件、テストケース過多/不足、単純ミス,納品資産の不足、テストケース理解不足</t>
  </si>
  <si>
    <t>Not Applicable. Member has Average Productivity and Quality.
該当なし。メンバーの生産性と品質は平均です。</t>
  </si>
  <si>
    <t>Member has completed 83.3% of his tasks (5/ 6). The Member has High Productivity and Quality.
Member also has advance progress for the tasks in Kaizen Phase.
メンバーはタスクの83.3% (5/6) を完了しました。メンバーは高い生産性と品質を持っています。
メンバーは、改善フェーズのタスクの進捗状況も把握しています。</t>
  </si>
  <si>
    <t>Jerick Estipona</t>
  </si>
  <si>
    <t>Member has Average Productivity Completing 4/5 Tasks in Ikan Phase and also have advance Tasks in Okayama (Kaizen).
The Member exhibits a good and professional working attitude and is very much involved in team activities. He follows instructions from Senior Members and applies his learnings to his tasks. 
The Member also shows improvement in his Prductivity in Task 3 with a productivity rating of 86.7%.
メンバーの平均生産性は、衣冠フェーズのタスクを4/5完了しており、岡山 (改善) のアドバンスタスクもあります。
メンバーは、優れたプロフェッショナルな勤務態度を示し、チーム活動に深く関与しています。彼はシニアメンバーの指示に従い、学んだことを仕事に活かしています。
このメンバーは、タスク3の生産性も向上しており、生産性評価は86.7%です。</t>
  </si>
  <si>
    <t>The Member is new to the company and the development process in general. Had a significant learning curve and needed time in understanding coding rules and standards contributing to his delays.
The Member also experienced some difficulty in addressing review points which took a significant time to resolve.
メンバーは、会社と開発プロセス全般に慣れていません。かなりの学習曲線があり、コーディング規則と標準を理解するのに時間がかかり、遅れの原因となった。
メンバーはまた、解決にかなりの時間を要したレビューポイントに対処する上で、いくつかの困難を経験した。</t>
  </si>
  <si>
    <t>船橋
Task1:5件、テストケース過多/不足、単純ミス,納品資産の不足、テストケース理解不足</t>
  </si>
  <si>
    <t xml:space="preserve">The Member is new to the company and the development process in general. Had a significant learning curve and needed time in understanding coding rules and standards contributing to his delays.
The Member also experienced some difficulty in addressing review points which took a significant time to resolve.           
メンバーは、会社と開発プロセス全般に慣れていません。かなりの学習曲線があり、コーディング規則と標準を理解するのに時間がかかり、遅れの原因となった。
メンバーはまた、解決にかなりの時間を要したレビューポイントに対処する上で、いくつかの困難を経験した。                               </t>
  </si>
  <si>
    <t>Member has completed 75% of his tasks (3/ 4). 
Member is very hardworking and does his best in all tasks. He is also willing to spend extra time to work on his tasks especially when delayed or approaching due dates.
He applies these learnings to ensure he does better in succeeding tasks.
He is able to complete 3/4 tasks and is in progress with the last Ikan Task.
メンバーはタスクの75% (3/4) を完了しました。
メンバーはとても勤勉で、すべての仕事に最善を尽くします。彼はまた、特に期限が遅れたり近づいたりしたときには、自分の仕事に余分な時間を費やすことをいとわない。
彼はこれらの学習を応用して、次のタスクでより良い結果を出すようにしています。
彼は3/4のタスクを完了することができ、最後のイカンタスクを進行中です。</t>
  </si>
  <si>
    <r>
      <t xml:space="preserve">H/H
・①セルフチェック、リーダレビュー(Thorough self check/Leader Review)
・②自己分析、品質改善計画の実行(Analysis of findings/errors/misses through QMS)
・③品質改善計画の分析とメンバーへの共有(Knowledge sharing/best practices by Top Performers)
H/L
・①②③
・④ノウハウ検索DB(Knowledge base creation &amp; maintenance) 
・⑤QA分析と対策(QA analysis + survey of common issues and resolution)
</t>
    </r>
    <r>
      <rPr>
        <sz val="8"/>
        <color rgb="FFFF0000"/>
        <rFont val="Meiryo UI"/>
        <family val="3"/>
        <charset val="128"/>
      </rPr>
      <t xml:space="preserve">L/H
・①②③④
・⑥テクニカルTLによる調査・デバッグ等のサポート(Additional technical TL to support debugging and inquiries)
・⑦作業時間のモニタリング・管理(Monitor Admin Tasks (updating of trackers, etc))
</t>
    </r>
    <r>
      <rPr>
        <sz val="8"/>
        <rFont val="Meiryo UI"/>
        <family val="3"/>
        <charset val="128"/>
      </rPr>
      <t xml:space="preserve">
・L/L
・①②③④⑤⑥⑦
⑧日本との勉強会(Study Session with Japan side) ※新垣さんが実施している勉強会をイメージ</t>
    </r>
  </si>
  <si>
    <t xml:space="preserve">The Member is able to complete 3/5 Tasks and poor qualitywith multiple findings, All findings are addressed and resolved.
The Member is one of the Seniors of the team and helps manage and monitor the progress of his peers. He is highly cooperative and extends effort in helping others which at times affect his own performance.
メンバーはタスクを3/5完了することができ、複数の結果があり品質が低い。すべての結果に対処し、解決します。
メンバーは、チームのシニアの1人であり、同僚の進捗を管理および監視するのに役立ちます。彼は非常に協調性があり、他人を助けるために努力を惜しみませんが、それが彼自身のパフォーマンスに影響を与えることもあります。
</t>
  </si>
  <si>
    <t>The Member is new to the company and the development process in general. Had a significant learning curve and needed time in understanding coding rules and standards contributing to his delays.
The Member also experienced some difficulty in addressing review points which took a significant time to resolve.
He also takes responsibility for his other teammates beingone of the senior members on the group.
メンバーは、会社と開発プロセス全般に慣れていません。かなりの学習曲線があり、コーディング規則と標準を理解するのに時間がかかり、遅れの原因となった。
メンバーはまた、解決にかなりの時間を要したレビューポイントに対処する上で、いくつかの困難を経験した。
また、他のチームメイトがグループの先輩であることにも責任を持っています。</t>
  </si>
  <si>
    <t>船橋
Task1:8件、テストケース過多/不足、画面編集ミス、単純ミス、テストエビデンス不足
Task2:1件、納品資産の不足
Task3:1件、納品資産の不足</t>
  </si>
  <si>
    <t>The Member is new to the company and the development process in general. Had a significant learning curve and needed time in understanding coding rules and standards contributing to his delays.
The Member also experienced some difficulty in addressing review points which took a significant time to resolve.
He also takes responsibility for his other teammates beingone of the senior members on the group.
メンバーは、会社と開発プロセス全般に慣れていません。かなりの学習曲線があり、コーディング規則と標準を理解するのに時間がかかり、遅れの原因となった。
メンバーはまた、解決にかなりの時間を要したレビューポイントに対処する上で、いくつかの困難を経験した。
彼はまた、他のチームメイトがグループの先輩の一人であることにも責任を持っています。</t>
  </si>
  <si>
    <t>John has completed 60% of his tasks (3/5). 
The Member is hardworking and is one of the senior members relied upon to assist other members when in need.
He is very responsive to the needs of others which at times may affect his own progress. 
John is very diligent and takes time to do self research in order to improve his performance.
Johnはタスクの60% (3/5) を完了しました。
メンバーは勤勉で、必要なときに他のメンバーを支援するために頼りにされている上級メンバーの一人です。
彼は他人の要求に非常に敏感で、時にはそれが彼自身の進歩に影響を与えることもある。
ジョンはとても勤勉で、パフォーマンスを向上させるために自己研究に時間をかけています。</t>
  </si>
  <si>
    <r>
      <t xml:space="preserve">H/H
・①セルフチェック、リーダレビュー(Thorough self check/Leader Review)
・②自己分析、品質改善計画の実行(Analysis of findings/errors/misses through QMS)
・③品質改善計画の分析とメンバーへの共有(Knowledge sharing/best practices by Top Performers)
H/L
</t>
    </r>
    <r>
      <rPr>
        <sz val="8"/>
        <color rgb="FFFF0000"/>
        <rFont val="Meiryo UI"/>
        <family val="3"/>
        <charset val="128"/>
      </rPr>
      <t xml:space="preserve">・①②③
・④ノウハウ検索DB(Knowledge base creation &amp; maintenance) 
・⑤QA分析と対策(QA analysis + survey of common issues and resolution)
</t>
    </r>
    <r>
      <rPr>
        <sz val="8"/>
        <rFont val="Meiryo UI"/>
        <family val="3"/>
        <charset val="128"/>
      </rPr>
      <t xml:space="preserve">
L/H
・①②③④
・⑥テクニカルTLによる調査・デバッグ等のサポート(Additional technical TL to support debugging and inquiries)
・⑦作業時間のモニタリング・管理(Monitor Admin Tasks (updating of trackers, etc))
・L/L
・①②③④⑤⑥⑦
⑧日本との勉強会(Study Session with Japan side) ※新垣さんが実施している勉強会をイメージ</t>
    </r>
  </si>
  <si>
    <t>John Paul Maglunob</t>
  </si>
  <si>
    <t>Member has completed all 5 tasks in Ikan Phase and also has started work on advance tasks for Kaizen. 
He is a strong contributor to the team, is resourceful and shares his learning with every member.
He is a mid developer but acts very much like one of the seniors. Constanty shares his knowhow with the team and does everything he can to complete his tasks.
メンバーは、管理フェーズの5つのタスクをすべて完了し、改善のための事前タスクにも着手しています。
彼はチームへの強力な貢献者であり、機知に富み、すべてのメンバーと学習を共有します。
彼は中堅の開発者ですが、先輩のように振る舞っています。常にチームとノウハウを共有し、タスクを完了するためにできる限りのことを行います。</t>
  </si>
  <si>
    <t>Not Applicable. Has completed all assigned tasks for Ikan and has even done advance work for Kaizen.
該当なし。医官に与えられたすべての仕事を完了し、改善のための事前作業も行っている。</t>
  </si>
  <si>
    <t>船橋
Task1:8件、テストケース過多/不足、仕様書雛形の選択ミス、単純ミス,納品資産の不足、エビデンス改善要
Task2:件、テストケース過多/不足、仕様書雛形の選択ミス、単純ミス、テストエビデンス不足
Task3:2件、テストケース過多/不足、単純ミス</t>
  </si>
  <si>
    <t>Not Applicable. Member is one of th high performers on the team.
該当なし。メンバーはチームの中でもハイパフォーマーの一人です。</t>
  </si>
  <si>
    <t>Member has completed 100% of his tasks (5/ 5). 
The Member is very efficient, is a fast learner and is a very good team player. Highly responsible and can do self management of his tasks.
He is consistently one of the top performers on the team.
メンバーはタスクの100% (5/5) を完了しました。
メンバーは非常に効率的で、飲み込みが早く、非常に優れたチームプレーヤーです。責任感が強く、仕事の自己管理ができる。
彼は常にチームでトップクラスの成績を収めている。</t>
  </si>
  <si>
    <t>H/H
・①セルフチェック、リーダレビュー(Thorough self check/Leader Review)
・②自己分析、品質改善計画の実行(Analysis of findings/errors/misses through QMS)
・③品質改善計画の分析とメンバーへの共有(Knowledge sharing/best practices by Top Performers)
H/L
・①②③
・④ノウハウ検索DB(Knowledge base creation &amp; maintenance) 
・⑤QA分析と対策(QA analysis + survey of common issues and resolution)
L/H
・①②③④
・⑥テクニカルTLによる調査・デバッグ等のサポート(Additional technical TL to support debugging and inquiries)
・⑦作業時間のモニタリング・管理(Monitor Admin Tasks (updating of trackers, etc))
・L/L
・①②③④⑤⑥⑦
⑧日本との勉強会(Study Session with Japan side) ※新垣さんが実施している勉強会をイメージ</t>
  </si>
  <si>
    <t>John Philip Diala</t>
  </si>
  <si>
    <t>The Member has a compliance rating of 83.3% resulting in completion of 5/6 Ikan Tasks.
He contributes regularly to knowldge sharing and group study sessions and is one of the top perfomers on the team.
He also does not hesitate to do Recovery when he is behind in his tasks and has good Task Management Skills.
メンバーのコンプライアンス評価は83.3%で、5/6のIkanタスクを完了しています。
彼は定期的に知識の共有とグループ学習セッションに貢献し、チームのトップパフォーマーの一人です。
また、タスクが遅れているときは、リカバリを躊躇せず、優れたタスク管理スキルを持っています。</t>
  </si>
  <si>
    <t>The Member is new to the company and the development process in general. Another contributing factor was his adjustent to the JAVA Environment and complexity of the screens (tasks).
メンバーは、会社と開発プロセス全般に慣れていません。もう1つの要因は、JAVA環境への適応と画面 (タスク) の複雑さでした。</t>
  </si>
  <si>
    <t>船橋
Task1:12件、テストケース過多/不足、仕様書雛形の選択ミス、単純ミス、エビデンス改善要
Task2:5件、単純ミス、テストエビデンス不足
Task3:8件、単純ミス,納品資産の不足、仕様書雛形の選択ミス、テストエビデンス不足
Task4:5件、テストエビデンス不足,構成資産一覧記入不足
岡山
Task1:1件、単純ミス</t>
  </si>
  <si>
    <t>The Member is new to the company and the
 development process in general. Another contributing factor was his adjustent to the JAVA Environment and complexity of the screens (tasks).
メンバーは入社したばかりで、
 開発プロセス全般。もう1つの要因は、JAVA環境への適応と画面 (タスク) の複雑さでした。</t>
  </si>
  <si>
    <t>Member has completed 83.3% of his tasks (5/6) and has also advance tasks for the Kaizen Phase.
Jala is a very important asset to the team. He is self starting, responisble and diligent in his tasks.
Member is proactive and coordinating well with the Team Lead and other members on the team.
He is also a problem solver and is resourceful in addressing issues in his tasks. Can work independently and knows how to prioritize his work.
メンバーはタスクの83.3% (5/6) を完了し、改善フェーズのタスクも進めています。
ジャラはチームにとって非常に重要な資産だ。彼は自発的で、責任感があり、仕事に熱心だ。
メンバーは積極的で、チームリーダーやチームの他のメンバーとうまく調整します。
また、問題解決能力があり、タスクの問題に対処するための機知に富んでいます。独立して仕事ができ、仕事の優先順位を知っている。</t>
  </si>
  <si>
    <t>Mark Anthony Ciso</t>
  </si>
  <si>
    <t>Mark is one of the members who has successfully completed 100% of his Ikan Tasks. 
Aside from his efficiency in performing his tasks, he also serves as the unoffial assistant lead - he supports the team leader very well and also helps guide the other members in performing their tasks.
Markは、彼のIkanタスクの100%を正常に完了したメンバーの1人です。
仕事を効率的にこなすだけでなく、非公式のアシスタントリーダーも務めています。チームリーダーを非常によくサポートし、他のメンバーの仕事を指導するのにも役立ちます。</t>
  </si>
  <si>
    <t>Not Applicable. Mark is one of the strongest performers on the team.
該当なし。マークはチームの中で最も強いパフォーマーの一人だ</t>
  </si>
  <si>
    <t>船橋
Task1:9件、テストケース過多/不足、エビデンス改善要、テストエビデンス不足
Task2:9件、テストケース過多/不足、エビデンス改善要、テストエビデンス不足,構成資産一覧記入不足
Task3:9件、画面編集ミス、テストケース過多/不足、単純ミス,構成資産一覧記入不足
岡山
Task1:4件、テストケース過多/不足、単純ミス、テストエビデンス不足</t>
  </si>
  <si>
    <t>The Member has completed 100% of his tasks for the Ilan Phase (6/6) and has even started advance tasks for the Kaizen phase.
Mark is one of the members who has successfully completed 100% of his Ikan Tasks. 
Aside from his efficiency in performing his tasks, he also serves as the unoffial assistant lead - he supports the team leader very well and also helps guide the other members in performing their tasks.
メンバーはイランフェーズのタスクの100% (6/6) を完了し、改善フェーズの事前タスクも開始しました。
Markは、彼のIkanタスクの100%を正常に完了したメンバーの1人です。
 仕事を効率的にこなすだけでなく、非公式のアシスタントリーダーとしての役割も果たしています。チームリーダーを非常によくサポートし、他のメンバーの仕事を指導するのにも役立ちます。</t>
  </si>
  <si>
    <t>Mc Kevin Aranda</t>
  </si>
  <si>
    <r>
      <t>Kevin has an on time completion rate of 60% and an average Productivity of 68.9% 
The Member has a poor quality performance of 26.8% primarily due to his unfamiliarity with coding rules but has made major strides 
improving his performance since the OJT Phase.
With the member, consistency is one of his best assets. He has improved throughout the knowledge transfer, OJT and now through the transition phase.
He  is cooperative and communicates well with the team. Provides his inputs and learnings and is willing to assist others when needed. 
Also takes additional taks such as peer reviews and is a regular joiner in grup study
Kevinの納期完了率は60%、平均生産性は68.9%です。
メンバーは、</t>
    </r>
    <r>
      <rPr>
        <sz val="8"/>
        <color rgb="FFFF0000"/>
        <rFont val="Meiryo UI"/>
        <family val="3"/>
        <charset val="128"/>
      </rPr>
      <t>コーディングルールに不慣れなことが主な原因で品質パフォーマンスが26.8%と低い</t>
    </r>
    <r>
      <rPr>
        <sz val="8"/>
        <rFont val="Meiryo UI"/>
        <family val="3"/>
        <charset val="128"/>
      </rPr>
      <t>が、大きな進歩を遂げている
OJTフェーズからパフォーマンスを向上させました。
そのメンバーにとって、一貫性は彼の最大の強みの一つだ。彼は、知識の伝達、OJT、そして現在の移行段階を通じて改善しました。
彼は</t>
    </r>
    <r>
      <rPr>
        <sz val="8"/>
        <color rgb="FFFF0000"/>
        <rFont val="Meiryo UI"/>
        <family val="3"/>
        <charset val="128"/>
      </rPr>
      <t>協調性があり、チームとよくコミュニケーションを取る</t>
    </r>
    <r>
      <rPr>
        <sz val="8"/>
        <rFont val="Meiryo UI"/>
        <family val="3"/>
        <charset val="128"/>
      </rPr>
      <t>。インプットと学習を提供し、必要に応じて他のユーザーを支援します。
また、ピアレビューなどの追加のテイクを取り、グループ研究に定期的に参加しています。</t>
    </r>
  </si>
  <si>
    <t>Member is also new to the company and the development process in general. 
He also had a significant learning curve and needed time in understanding coding rules and standards contributing to his delays. Another contributing factor was his adjustent to the JAVA Environment and complexity of the screens (tasks).
Members encountered delays due to QAs that were later resolved. Member also spends time analysing test cases.
メンバーは、会社や開発プロセス全般にも慣れていません。
また、彼はかなりの学習曲線を持っており、コーディング規則と標準を理解するのに時間がかかり、遅れの原因となった。もう1つの要因は、JAVA環境への適応と、画面 (タスク) の複雑さでした。
後に解決されたQAのためにメンバーは遅延に遭遇した。メンバーは、テストケースの分析にも時間を費やします。</t>
  </si>
  <si>
    <t>船橋
Task1:9件、画面編集ミス、単純ミス、テストエビデンス不足、仕様書雛形の選択ミス,納品資産の不足
Task2:4件、画面編集ミス、テストエビデンス不足,納品資産の不足,構成資産一覧記入不足
Task3:8件、単純ミス、納品資産の不足、テストエビデンス不足、テストケース理解不足</t>
  </si>
  <si>
    <t>Member is also new to the company and the development process in general. 
He also had a significant learning curve and needed time in understanding coding rules and standards contributing to his delays. Another contributing factor was his adjustent to the JAVA Environment and complexity of the screens (tasks).
メンバーは、会社や開発プロセス全般にも慣れていません。
また、彼はかなりの学習曲線を持っており、コーディング規則と標準を理解するのに時間がかかり、遅れの原因となった。もう1つの要因は、JAVA環境への適応と、画面 (タスク) の複雑さでした。</t>
  </si>
  <si>
    <r>
      <rPr>
        <sz val="8"/>
        <color rgb="FF000000"/>
        <rFont val="Meiryo UI"/>
        <family val="3"/>
        <charset val="128"/>
      </rPr>
      <t xml:space="preserve">Member has completed 80% of his tasks (4/5) and is continuinghis work to complete the remaining tasks.
The member is hard working and only need to work on his self reliance.
The member is very commited to his responsibilities, He is willing to spend extra time to finish tasks that are close to deadline.even if he struggles at times.
メンバーはタスクの60% (4/5) を完了し、残りのタスクを完了するために作業を続けています。
メンバーは勤勉で、自立に向けて努力するだけでいい。
</t>
    </r>
    <r>
      <rPr>
        <sz val="8"/>
        <color rgb="FFFF0000"/>
        <rFont val="Meiryo UI"/>
        <family val="3"/>
        <charset val="128"/>
      </rPr>
      <t>メンバーは自分の責任に非常に熱心で、時には苦労することがあっても、締め切り間近のタスクを完了するために余分な時間を費やすことを厭わない。</t>
    </r>
  </si>
  <si>
    <t>Miguelito Resuera</t>
  </si>
  <si>
    <t>Member has an average productivity score of 74.3 percent and has completed 4 out of the 5 Ikan Tasks assigned to him. 
Migulito is another senior on the team who helps guide others on the team and has several resommendations on how to improve work habits and often shares best practices.
Being one of the senior developers, he helps to do internal review of the members to lessen the workload of the team leader.
メンバーの平均生産性スコアは74.3%で、割り当てられた5つのIkanタスクのうち4つを完了しています。
Migulitoはチームのもう1人のシニアであり、チームの他のメンバーを指導し、作業習慣を改善する方法についていくつかの推奨事項を持ち、しばしばベストプラクティスを共有します。
シニア開発者の一人として、チームリーダーの作業負荷を軽減するために、メンバーの内部レビューを支援しています。</t>
  </si>
  <si>
    <t>The Member is new to the company and the development process in general. Had a significant learning curve and needed time in understanding coding rules and standards contributing to his delays.
Miguelito also had challenges understanding review points but persistently made an effort to improve his communication method with the respective reviewers.
メンバーは、会社と開発プロセス全般に慣れていません。かなりの学習曲線があり、コーディング規則と標準を理解するのに時間がかかり、遅れの原因となった。
Miguelitoもレビューポイントを理解するのに苦労したが、それぞれのレビュー担当者とのコミュニケーション方法を改善するために粘り強く努力した。</t>
  </si>
  <si>
    <t>船橋
Task1:4件、納品資産の不足、画面編集ミス、単純ミス、テストエビデンス不足
Task2:7件、画面編集ミス、エビデンス改善要、テストエビデンス不足、納品資産の不足,構成資産一覧記入不足、仕様書雛形の選択ミス
Task3:4件、単純ミス、納品資産の不足,構成資産一覧記入不足</t>
  </si>
  <si>
    <t>Miguelito had several technical issues in the beginning of the transition phase (SystemWalker and Drive accessibility). He is  also new to the company and the development process in general. Had a significant learning curve and needed time in understanding coding rules and standards contributing to his delays.
Miguelitoには、移行フェーズの初期段階でいくつかの技術的な問題 (SystemWalkerとDriveのアクセシビリティ) がありました。彼はまた、会社と開発プロセス全般に新参者です。かなりの学習曲線があり、コーディング規則と標準を理解するのに時間がかかり、遅れの原因となった。</t>
  </si>
  <si>
    <t>Member has completed 80% of his tasks (4/5) and is continuinghis work to complete the remaining task.
Migulito is another senior on the team who helps guide others on the team and has several resommendations on how to improve work habits and often shares best practices.
Being one of the senior developers, he helps to do internal review of the members to lessen the workload of the team leader.
Miguelito is also an old fashioned worker who analyzes tasks and looks for the best way to approach doing the task. 
It is highly recommended for the member to proceed to the Kaizen phase
メンバーはタスクの80% (4/5) を完了し、残りのタスクを完了するために作業を続けています。
Migulitoはチームのもう1人のシニアであり、チームの他のメンバーを指導し、作業習慣を改善する方法についていくつかの推奨事項を持ち、しばしばベストプラクティスを共有します。
シニア開発者の一人として、チームリーダーの作業負荷を軽減するために、メンバーの内部レビューを支援しています。
Miguelitoはまた、タスクを分析し、タスクを実行するための最善の方法を探す昔ながらのワーカーでもあります。
メンバーは改善フェーズに進むことを強くお勧めします。</t>
  </si>
  <si>
    <t>Nigelle has completed 3/5 tasks assigned to her and continues to work on completing remaining tasks for the Ikan Phase.
The member is helpful and extends assistance to others whenever needed. 
Nigelleは自分に割り当てられたタスクの3/5を完了し、Ikanフェーズの残りのタスクの完了に引き続き取り組んでいます。
メンバーは助けになり、必要なときにはいつでも他の人を助けます。</t>
  </si>
  <si>
    <t>Nigelle is new to the company and the development process in general.
She also had to go on sick leave for 2 MDs during the transition phase. 
Nigelle also at times have careless mistakes which caused rework in her tasks.
Nigelleは、会社と開発プロセス全般に新参者です。
彼女はまた、移行期に2人のMDのために病気休暇を取らなければならなかった。
Nigelleも時々ケアレスミスをして、仕事のやり直しをすることがあります。</t>
  </si>
  <si>
    <t>船橋
Task1:12件、テストケース過多/不足、単純ミス、仕様書雛形の選択ミス、納品資産の不足、テストエビデンス不足
Task2:2件、テストエビデンス不足、テストケース理解不足
Task3:6件、テストケース過多/不足、単純ミス、納品資産の不足</t>
  </si>
  <si>
    <r>
      <t>Nigelle is new to the company and the development process in general.
She also had to go on sick leave for 2 MDs during the transition phase. 
Nigelle also at times have careless mistakes which caused rework in her tasks.
Nigelleは、会社と開発プロセス全般に新参者です。
彼女はまた、移行期に2人のMDのために病気休暇を取らなければならなかった。
Nigelleも時々</t>
    </r>
    <r>
      <rPr>
        <sz val="8"/>
        <color rgb="FFFF0000"/>
        <rFont val="Meiryo UI"/>
        <family val="3"/>
        <charset val="128"/>
      </rPr>
      <t>ケアレスミスをして、仕事のやり直しをすることがあります。</t>
    </r>
  </si>
  <si>
    <t xml:space="preserve">
Member has completed 60% of his tasks (3/5) and is continuinghis work to complete the remaining tasks.
Major improvement from KT and OJT phases. 
Was initially advance on the tasks but got delayed due to rework. 
Major issue is also her attendance due to sickness but has committed to recovering by doing extra time and effort to recover from tasks and delays. 
メンバーはタスクの60% (3/5) を完了し、残りのタスクを完了するために作業を続けています。
KTおよびOJT相からの大幅な改善。
当初は仕事を進めていたが、やり直しのために遅れた。
大きな問題は、彼女が病気のために出席していることでもありますが、タスクや遅延から回復するために余分な時間と努力をすることで回復することを約束しています。</t>
  </si>
  <si>
    <t>Nimrod has completed 3/5 tasks in the Ikan Phase for a completion rate of 60% but is ongoing with the 2 remaining tasks. 
In terms of team collaboration the member is very active in group discussions and improvemen planning. 
Nimrod is also a senior on the team who helps the team lead in reviewing his peers work. Is also taking a leadership role in recurring small group discussions.
Nimrodは、60%の完了率でイカンフェーズの3/5のタスクを完了しましたが、残りの2つのタスクを継続しています。
チームのコラボレーションに関しては、メンバーはグループディスカッションや改善計画に非常に積極的です。
Nimrodはチームの先輩でもあり、同僚の作業をレビューする際にチームをリードしています。また、定期的に行われる小グループディスカッションで指導的役割を果たしています。</t>
  </si>
  <si>
    <t xml:space="preserve">The Member is new to the company and the development process in general. Had a significant learning curve and needed time in understanding coding rules and standards contributing to his delays.
Nimrod has a tendency to deprioritize tasks over helping others. 
The member is also self reliant but needs to verify with others if unsure about his work. Encountered several rework in tasks resulting in inflated effort to complete tasks.
メンバーは、会社と開発プロセス全般に慣れていません。かなりの学習曲線があり、コーディング規則と標準を理解するのに時間がかかり、遅れの原因となった。
ニムロッドは他人を助けることよりも仕事の優先順位を下げる傾向がある。
メンバーも自立していますが、自分の仕事に自信がない場合は他の人に確認する必要があります。タスクのやり直しが何度か発生し、タスクを完了するための作業量が膨れ上がった。
</t>
  </si>
  <si>
    <t>船橋
Task1:4件、テストエビデンス不足、単純ミス、納品資産の不足,構成資産一覧記入不足
Task2:8件、構成資産一覧記入不足、単純ミス,画面編集ミス、テストケース過多/不足</t>
  </si>
  <si>
    <t>The Member is new to the company and the development process in general. Had a significant learning curve and needed time in understanding coding rules and standards contributing to his delays.
Nimrod has a tendency to deprioritize tasks over helping others. 
The member is also self reliant but needs to verify with others if unsure about his work. Encountered several rework in tasks resulting in inflated effort to complete tasks.
メンバーは、会社と開発プロセス全般に慣れていません。かなりの学習曲線があり、コーディング規則と標準を理解するのに時間がかかり、遅れの原因となった。
ニムロッドは他人を助けることよりも仕事の優先順位を下げる傾向がある。
メンバーも自立していますが、自分の仕事に自信がない場合は他の人に確認する必要があります。タスクのやり直しが何度か発生し、タスクを完了するための作業量が膨れ上がった。</t>
  </si>
  <si>
    <t xml:space="preserve">Member has completed 60% of his tasks (3/5) and is continuinghis work to complete the remaining tasks.
Nimrod is also a senior on the team who helps the team lead in reviewing his peers work. Is also taking a leadership role in recurring small group discussions.
He is also willing to do whatever it takes to meet deadlines including working without pay and even during weekends. 
Has proven the ability to catch up with メンバーはタスクの60% (3/5) を完了し、残りのタスクを完了するために作業を続けています。
Nimrodはチームの先輩でもあり、同僚の作業をレビューする際にチームをリードしています。また、定期的に行われる小グループディスカッションで指導的役割を果たしています。
彼はまた、無給で働いたり、週末であっても、締め切りに間に合わせるために必要なことは何でも喜んでする。
遅れたタスクを短時間でキャッチアップする能力が実証されています。tasks in a short amount of time.
</t>
  </si>
  <si>
    <t>Rienell Rae Akeem Delgado</t>
  </si>
  <si>
    <t>Very poor productivity and quality. Member is ongoing with tasks 1 to 4 but has not completed any tasks as of Feb 29.
Rienell is cooperative with the team but may be too quiet that seniors are unable to assist him because he does not raise any issues.
生産性と品質が非常に低い。メンバーはタスク1から4を実行中ですが、2月29日の時点でタスクを完了していません。
リーネルはチームに協力的だが、問題を提起しないので先輩が彼を助けられないほど静かすぎるかもしれない。</t>
  </si>
  <si>
    <t>現時点レビュー結果が無い。</t>
  </si>
  <si>
    <r>
      <t>The Member is new to the company and the development process in general. Had a significant learning curve and needed time in understanding coding rules and standards contributing to his delays.
Rienell took too long trying to resolve issues and had to do several rework in tasks because he did not ask help from others on the team.
メンバーは、会社と開発プロセス全般に慣れていません。かなりの学習曲線があり、コーディング規則と標準を理解するのに時間がかかり、遅れの原因となった。
Rienell氏は</t>
    </r>
    <r>
      <rPr>
        <sz val="8"/>
        <color rgb="FFFF0000"/>
        <rFont val="Meiryo UI"/>
        <family val="3"/>
        <charset val="128"/>
      </rPr>
      <t>問題を解決しようとするのに時間がかかりすぎ、チームの他の人に助けを求めなかったため、タスクを何度も作り直さなければならなかった</t>
    </r>
    <r>
      <rPr>
        <sz val="8"/>
        <color rgb="FF000000"/>
        <rFont val="Meiryo UI"/>
        <family val="3"/>
        <charset val="128"/>
      </rPr>
      <t>。</t>
    </r>
  </si>
  <si>
    <t>Member has average productivity. He is able to complete 2/5 Tasks in Ikan Phase. 
The Member is very participative in Asakai and shares learnings with the team. He is also a good influence to other members and encourages them to do better.
Roselito also encourages teamwork and is always very visible in Asakai and Team Activities.
メンバーの生産性は平均的です。彼はイカンフェーズで2/5のタスクを完了することができます。
メンバーは朝会に非常に参加し、チームと学びを共有しています。彼はまた、他のメンバーに良い影響を与え、彼らを励ましています。
Roselitoはまた、チームワークを奨励し、AsakaiとTeam Activitiesで常に非常に目立つ。</t>
  </si>
  <si>
    <t>Reduced productivity is due to a cancelled task in Funabashi. The member rendered 8 MHs in working on the cancelled task.
Member is also new to the company and the development process in general. Had a significant learning curve and needed time in understanding coding rules and standards contributing to his delays.
生産性の低下は、船橋でキャンセルされたタスクのためです。メンバーは、取り消されたタスクの作業に8 MHを費やした。
メンバーは、会社や開発プロセス全般にも慣れていません。かなりの学習曲線があり、コーディング規則と標準を理解するのに時間がかかり、遅れの原因となった。</t>
  </si>
  <si>
    <t>船橋
Task1:5件、単純ミス、テストエビデンス不足</t>
  </si>
  <si>
    <t>Member is new to the company and the 
development process in general. Had a significant learning curve and needed time in understanding coding rules and standards contributing to his delays.
Reduced productivity is due to a cancelled task in Funabashi. The member rendered 8 MHs in working on the cancelled task.
メンバーはこの会社に入社したばかりで、
開発プロセス全般。かなりの学習曲線があり、コーディング規則と標準を理解するのに時間がかかり、遅れの原因となった。
生産性の低下は、船橋でキャンセルされたタスクのためです。メンバーは、取り消されたタスクの作業に8 MHを費やした。</t>
  </si>
  <si>
    <t>Member has completed 40% of his tasks (2/5) and is continuinghis work to complete the remaining tasks.
The Member is very participative in Asakai and shares learnings with the team. He is also a good influence to other members and encourages them to do better.
Roselito also encourages teamwork and is always very visible in Asakai and Team Activities.
He is very hardworking and dedicated in his tasks.
メンバーはタスクの40% (2/5) を完了し、残りのタスクを完了するために作業を続けています。
メンバーは朝会に非常に参加し、チームと学びを共有しています。彼はまた、他のメンバーに良い影響を与え、彼らを励ましています。
Roselitoはまた、チームワークを奨励し、AsakaiとTeam Activitiesで常に非常に目立つ。
彼は仕事熱心だ。</t>
  </si>
  <si>
    <r>
      <t xml:space="preserve">H/H
・①セルフチェック、リーダレビュー(Thorough self check/Leader Review)
・②自己分析、品質改善計画の実行(Analysis of findings/errors/misses through QMS)
・③品質改善計画の分析とメンバーへの共有(Knowledge sharing/best practices by Top Performers)
H/L
・①②③
・④ノウハウ検索DB(Knowledge base creation &amp; maintenance) 
・⑤QA分析と対策(QA analysis + survey of common issues and resolution)
L/H
</t>
    </r>
    <r>
      <rPr>
        <sz val="8"/>
        <color rgb="FFFF0000"/>
        <rFont val="Meiryo UI"/>
        <family val="3"/>
        <charset val="128"/>
      </rPr>
      <t xml:space="preserve">・①②③④
・⑥テクニカルTLによる調査・デバッグ等のサポート(Additional technical TL to support debugging and inquiries)
・⑦作業時間のモニタリング・管理(Monitor Admin Tasks (updating of trackers, etc))
</t>
    </r>
    <r>
      <rPr>
        <sz val="8"/>
        <rFont val="Meiryo UI"/>
        <family val="3"/>
        <charset val="128"/>
      </rPr>
      <t xml:space="preserve">
・L/L
・①②③④⑤⑥⑦
⑧日本との勉強会(Study Session with Japan side) ※新垣さんが実施している勉強会をイメージ</t>
    </r>
  </si>
  <si>
    <t>Sir June Sagarino</t>
  </si>
  <si>
    <t>Jun has completed all 7 Tasks for a 100% completion rate and even has advance work accomplished for Kaizen.
The member is confident and exhibits leadership by example. He is always ahead in completion of tasks but makes it a point to assist the members who are delayed.
Promotes teamwork at al times and is patient when assisting others. He is an extremely positive contributor to the morale of the team.
Junは、100%の完了率で7つのタスクをすべて完了し、カイゼンのための事前作業も完了しました。
メンバーは自信を持ち、模範を示してリーダーシップを発揮します。彼はいつも先に仕事を終わらせているが、遅れているメンバーを助けることにしている。
常にチームワークを促進し、他の人を助けるときは忍耐強い。彼はチームの士気に非常に積極的に貢献している。</t>
  </si>
  <si>
    <t xml:space="preserve">Not Applicable. Has completed all assigned tasks for Ikan and has even done advance work for Kaizen.
該当なし。医官に与えられたすべての仕事を完了し、改善のための事前作業も行っている。
</t>
  </si>
  <si>
    <t>船橋
Task1:7件、テストケース過多/不足、納品資産の不足、仕様書雛形の選択ミス、単純ミス
Task2:3件、テストエビデンス不足、テストケース過多/不足
Task3:5件、テストケース過多/不足、テストケース理解不足,テストエビデンス不足、納品資産の不足
岡山
Task1:3件、テストケース過多/不足、構成資産一覧記入不足,テストエビデンス不足
Task2:2件、テストケース過多/不足、テストエビデンス不足</t>
  </si>
  <si>
    <t>Not Applicable. Consiistently one of the top performers on the team.
該当なし。常にチームのトップパフォーマーの一人。</t>
  </si>
  <si>
    <t xml:space="preserve">Member has completed 100% of his tasks (7/ 7). 
The Member is very efficient, is a fast learner and is a very good team player. Highly responsible and can do self management of his tasks.
He is very responsible and is willing to help out others which is why he does his best to complete tasks early to assist the team.
Jun is also very proactive and is very motivated.
メンバーはタスクの100% (7/7) を完了しました。
メンバーは非常に効率的で、飲み込みが早く、非常に優れたチームプレーヤーです。責任感が強く、仕事の自己管理ができる。
彼は非常に責任感が強く、他の人を助けることをいとわないので、チームを助けるためにタスクを早く完了するように最善を尽くします。
Junもとても積極的でやる気があります。
</t>
  </si>
  <si>
    <t>Yusney Madlansacay</t>
  </si>
  <si>
    <t>Yusney has an average productiity of 72.7% and an ontime completion rate of 100% (5/5 tasks completed).
The member is confident and exhibits leadership by example. He is always ahead in completion of tasks but makes it a point to assist the members who are delayed.
Promotes teamwork at al times and is patient when assisting others. He is an extremely positive contributor to the morale of the team.
Yusneyの平均生産性は72.7%、定時完了率は100% (5/5のタスクが完了) です。
メンバーは自信を持ち、模範を示してリーダーシップを発揮します。彼はいつも先に仕事を終わらせているが、遅れているメンバーを助けることにしている。
常にチームワークを促進し、他の人を助けるときは忍耐強い。彼はチームの士気に非常に積極的に貢献している。</t>
  </si>
  <si>
    <t>船橋
Task1:10件、テストケース過多/不足、単純ミス、仕様書雛形の選択ミス、テストエビデンス不足
Task2:12件、単純ミス、仕様書雛形の選択ミス、テストエビデンス不足、納品資産の不足、テストケース理解不足
Task3:3件、テストエビデンス不足、テストケース理解不足、納品資産の不足
岡山
Task1:1件、単純ミス
Task2:1件、単純ミス</t>
  </si>
  <si>
    <t>Member has completed 100% of his tasks (5/ 5). 
Yusney is a very efficient member and is a strong influence to others on the team. He is always ahead in completing tasks and also performs other ad hoc responsibilities for the team.
The member is very consistent and is can be counted upon in many aspects of task accomplishment as well as team development.
Yusney is very committed in his work and can be relied on to always perform well.
メンバーはタスクの100% (5/5) を完了しました。
ユスニーは非常に有能なメンバーで、チームの他のメンバーに強い影響を与えています。彼は常に先を行ってタスクを完了し、チームのために他の臨時の責任も果たします。
メンバーは非常に一貫性があり、タスクの達成やチーム開発の多くの面で頼りになります。
ユスニーは仕事に非常に熱心で、いつも良い仕事をしてくれると信頼できる。</t>
  </si>
  <si>
    <t>Peng Shao Feng</t>
  </si>
  <si>
    <t>MY</t>
  </si>
  <si>
    <t>New Joiner to company. Still taking time to get used to the development process. As a result, self-check not enough, took many reviews to understand the coding standards.
Due to 1 task N207470G. KS is low in comparison to task difficulty, the resulting quality score is affected.</t>
  </si>
  <si>
    <t>船橋
Task1:2件、テストケース過多/不足、構成資産一覧記入不足
Task2:6件、テストケース過多/不足、テストエビデンス不足、納品資産の不足</t>
  </si>
  <si>
    <r>
      <t xml:space="preserve">New Joiner to company. Still taking time to get used to the development process. As a result, self-check not enough, took many reviews to understand the coding standards.
</t>
    </r>
    <r>
      <rPr>
        <sz val="8"/>
        <color rgb="FFFF0000"/>
        <rFont val="Meiryo UI"/>
        <family val="3"/>
        <charset val="128"/>
      </rPr>
      <t>Due to 1 task N207470G. KS is low in comparison to task difficulty, the resulting quality score is affected.</t>
    </r>
    <r>
      <rPr>
        <sz val="8"/>
        <rFont val="Meiryo UI"/>
        <family val="2"/>
      </rPr>
      <t xml:space="preserve">
</t>
    </r>
    <r>
      <rPr>
        <sz val="8"/>
        <color theme="4" tint="-0.249977111117893"/>
        <rFont val="Meiryo UI"/>
        <family val="2"/>
      </rPr>
      <t xml:space="preserve">新しいジョイナを会社に。まだ開発プロセスに慣れるのに時間がかかっています。その結果、自己チェックが十分ではなく、コーディング規約を理解するために多くのレビューを要した。
</t>
    </r>
    <r>
      <rPr>
        <sz val="8"/>
        <color rgb="FFFF0000"/>
        <rFont val="Meiryo UI"/>
        <family val="2"/>
      </rPr>
      <t>1タスクN207470Gのため。KSは課題難易度と比較して低く、結果として生じる品質スコアに影響を及ぼす。</t>
    </r>
  </si>
  <si>
    <r>
      <t xml:space="preserve">High Productivity. 
Proactive: Tasks are started ahead of time.
Highly responsive: Responsed to QA and Review Fix quickly.
High commitment: Willing to spend extra time to finish tasks that are close to deadline.
Team collaboaration good: Always communicating with Seniors and help other members
高い生産性。
</t>
    </r>
    <r>
      <rPr>
        <sz val="8"/>
        <color theme="4"/>
        <rFont val="Meiryo UI"/>
        <family val="2"/>
      </rPr>
      <t xml:space="preserve">プロアクティブ:タスクは事前に開始されます。
高い応答性:QAおよびレビュー修正に迅速に対応。
強いコミットメント:締め切り間近のタスクを完了するために余分な時間を費やすことをいとわない。
チームの連携が良い:常に先輩とコミュニケーションをとり、他のメンバーを助ける
</t>
    </r>
  </si>
  <si>
    <t>Funabashi
KU03080G</t>
  </si>
  <si>
    <t>Funabashi
N207470G</t>
  </si>
  <si>
    <t>Okayama
N205150G</t>
  </si>
  <si>
    <t>Okayama
N205230G</t>
  </si>
  <si>
    <t>Cheong Beng Chuan</t>
  </si>
  <si>
    <t>New Joiner to company. Still taking time to get used to the development process. 
As a result, self-check not enough, took many reviews to understand the coding standards. But member actively engages other members to discuss and find solutions. Good attitude, never complains</t>
  </si>
  <si>
    <t>船橋
Task1:4件、単純ミス、テストエビデンス不足、納品資産の不足
Task2:1件、テストケース過多/不足
Task3:2件、仕様書雛形の選択ミス、エビデンス改善要</t>
  </si>
  <si>
    <r>
      <t xml:space="preserve">New Joiner to company. Still taking time to get used to the development process. 
As a result, self-check not enough, took many reviews to understand the coding standards. But member actively engages other members to discuss and find solutions. Good attitude, never complains
</t>
    </r>
    <r>
      <rPr>
        <sz val="8"/>
        <color theme="4" tint="-0.249977111117893"/>
        <rFont val="Meiryo UI"/>
        <family val="2"/>
      </rPr>
      <t>新しいジョイナを会社に。まだ開発プロセスに慣れるのに時間がかかっています</t>
    </r>
    <r>
      <rPr>
        <sz val="8"/>
        <rFont val="Meiryo UI"/>
        <family val="3"/>
        <charset val="128"/>
      </rPr>
      <t>。
その結果、</t>
    </r>
    <r>
      <rPr>
        <sz val="8"/>
        <color theme="4" tint="-0.249977111117893"/>
        <rFont val="Meiryo UI"/>
        <family val="2"/>
      </rPr>
      <t>自己チェックが十分ではなく、コーディング規約を理解するために多くのレビューを要した。しかし、メンバーは積極的に他のメンバーを巻き込んで議論し、解決策を見つけます。良い態度、決して不平を言わない</t>
    </r>
  </si>
  <si>
    <r>
      <t xml:space="preserve">High Productivity. 
Proactive: Tasks are started ahead of time.
Highly responsive: Responsed to QA and Review Fix quickly.
High commitment: Always raising questions in daily meeting to ask for help in solution
Team collaboaration good: Always communicating with other members as a subgroup to solve problems
</t>
    </r>
    <r>
      <rPr>
        <sz val="8"/>
        <color theme="4" tint="-0.249977111117893"/>
        <rFont val="Meiryo UI"/>
        <family val="2"/>
      </rPr>
      <t xml:space="preserve">生産性が高い。
プロアクティブ:タスクは事前に開始されます。
高い応答性:QAおよびレビュー修正に迅速に対応。
高いコミットメント:毎日のミーティングで常に疑問を投げかけ、解決への支援を求める
チームのコラボレーションが良い:問題を解決するために、常にサブグループとして他のメンバーとコミュニケーションを取る
</t>
    </r>
  </si>
  <si>
    <t>Funabashi
N203C90G</t>
  </si>
  <si>
    <t>Funabashi
N203S60G</t>
  </si>
  <si>
    <t>Funabashi
N204040G</t>
  </si>
  <si>
    <t>Okayama
N203Y80G</t>
  </si>
  <si>
    <t>Okayama
N203YC0G</t>
  </si>
  <si>
    <t>Hor Rui Jie</t>
  </si>
  <si>
    <t>New Joiner to company. Still taking time to get used to the development process. 
As a result, self-check not enough, mistakes were made. Fresh graduate, therefore skill level needs improvement. However, member actively engages other members to discuss and find solutions. Good attitude, never complains</t>
  </si>
  <si>
    <t>船橋
Task1:3件、単純ミス、エビデンス改善要
Task2:5件、構成資産一覧記入不足、テストエビデンス不足、テストケース理解不足
Task3:1件、テストエビデンス不足</t>
  </si>
  <si>
    <r>
      <t xml:space="preserve">New Joiner to company. Still taking time to get used to the development process. 
As a result, self-check not enough, mistakes were made. Fresh graduate, therefore skill level needs improvement. However, member actively engages other members to discuss and find solutions. Good attitude, never complains
</t>
    </r>
    <r>
      <rPr>
        <sz val="8"/>
        <color theme="4" tint="-0.249977111117893"/>
        <rFont val="Meiryo UI"/>
        <family val="2"/>
      </rPr>
      <t>新しいジョイナを会社に。まだ開発プロセスに慣れるのに時間がかかっています。
その結果、自己点検が不十分で、ミスが発生した。新卒なので、スキルアップが必要です。しかし、メンバーは積極的に他のメンバーを巻き込んで議論し、解決策を見つけます。良い態度、決して不平を言わない</t>
    </r>
  </si>
  <si>
    <r>
      <t xml:space="preserve">High Productivity and Quality
Highly responsive: Responsed to QA and Review Fix quickly.
High commitment: Always spending time to improve skill to fix tasks. RTO very often
Team collaboaration good: Always communicating with Aero members for help
</t>
    </r>
    <r>
      <rPr>
        <sz val="8"/>
        <color theme="4" tint="-0.249977111117893"/>
        <rFont val="Meiryo UI"/>
        <family val="2"/>
      </rPr>
      <t>生産性高
プロアクティブ:タスクは事前に開始されます。
強いコミットメント:課題を解決するために、常にスキルアップに時間をかけています。常にRTO。
チームの連携が良い:常にAEROメンバーとコミュニケーションをとり、助けを求めている</t>
    </r>
  </si>
  <si>
    <t>Funabashi
N203L90G</t>
  </si>
  <si>
    <t>Funabashi
N204440G</t>
  </si>
  <si>
    <t>Funabashi
N205110G</t>
  </si>
  <si>
    <t>Okayama
N240040G</t>
  </si>
  <si>
    <t>Okayama
N240041G</t>
  </si>
  <si>
    <t>Khong Wai Kit</t>
  </si>
  <si>
    <t>Raises QA quickly when encountering blockers.
However, QA raised are technical related, he needs constant supervision to be effective.
Member's JAVA skills needs improvement.</t>
  </si>
  <si>
    <t>船橋
Task1:2件、画面編集ミス、単純ミス
Task2:2件、テストエビデンス不足、単純ミス</t>
  </si>
  <si>
    <r>
      <t xml:space="preserve">Raises QA quickly when encountering blockers.
However, QA raised are technical related, he needs constant supervision to be effective.
Member's JAVA skills needs improvement.
</t>
    </r>
    <r>
      <rPr>
        <sz val="8"/>
        <color theme="4" tint="-0.249977111117893"/>
        <rFont val="Meiryo UI"/>
        <family val="2"/>
      </rPr>
      <t>ブロッカーに遭遇するとQAを迅速に上げます。
しかし、提起されたQAは技術的なものであり、効果的であるためには常に監督が必要である。
メンバーのJAVAスキルの向上が必要</t>
    </r>
    <r>
      <rPr>
        <sz val="8"/>
        <rFont val="Meiryo UI"/>
        <family val="3"/>
        <charset val="128"/>
      </rPr>
      <t>です。</t>
    </r>
  </si>
  <si>
    <r>
      <t xml:space="preserve">High Productivity and Quality
High follow-up: Afraid of making mistakes, always follow-up with QA and questions. 
High commitment: Always raising questions in daily meeting to ask for help in solution, and always sharing solutions with other members
</t>
    </r>
    <r>
      <rPr>
        <sz val="8"/>
        <color theme="4"/>
        <rFont val="Meiryo UI"/>
        <family val="2"/>
      </rPr>
      <t>生産性と品質が高い。
高いフォローアップ:ミスを恐れ、常にQAと質問でフォローアップする。
コミットメントの高さ:毎日のミーティングで常に疑問を投げかけて解決策を求め、常に他のメンバーと解決策を共有する</t>
    </r>
  </si>
  <si>
    <t>Funabashi
KU02J20G</t>
  </si>
  <si>
    <t>Funabashi
N203T60G</t>
  </si>
  <si>
    <t>Funabashi
N205640G</t>
  </si>
  <si>
    <t>Okayama
N203990G</t>
  </si>
  <si>
    <t>Okayama
N211110G</t>
  </si>
  <si>
    <t>Okayama
N211180G</t>
  </si>
  <si>
    <t>Wee Kian Huat</t>
  </si>
  <si>
    <t>船橋
Task1:2件、納品資産の不足,テストエビデンス不足</t>
  </si>
  <si>
    <r>
      <t xml:space="preserve">New Joiner to company. Still taking time to get used to the development process. 
As a result, self-check not enough, took many reviews to understand the coding standards. But member actively engages other members to discuss and find solutions. Good attitude, never complains
</t>
    </r>
    <r>
      <rPr>
        <sz val="8"/>
        <color theme="4" tint="-0.249977111117893"/>
        <rFont val="Meiryo UI"/>
        <family val="2"/>
      </rPr>
      <t>新しいジョイナを会社に。まだ開発プロセスに慣れるのに時間がかかっています。
その結果、自己チェックが十分ではなく、コーディング規約を理解するために多くのレビューを要した。しかし、メンバーは積極的に他のメンバーを巻き込んで議論し、解決策を見つけます。良い態度、決して不平を言わない</t>
    </r>
  </si>
  <si>
    <r>
      <t xml:space="preserve">High Productivity. 
Proactive: Tasks are started ahead of time.
Highly responsive: Responsed to QA and Review Fix quickly.
High commitment: Always raising questions in daily meeting to ask for help in solution
Team collaboaration good: Always communicating with other members as a subgroup to solve problems
</t>
    </r>
    <r>
      <rPr>
        <sz val="8"/>
        <color theme="4" tint="-0.249977111117893"/>
        <rFont val="Meiryo UI"/>
        <family val="2"/>
      </rPr>
      <t xml:space="preserve">生産性高い:プロアクティブ:タスクは事前に開始されます。
高い応答性:QAおよびレビュー修正に迅速に対応。
高いコミットメント:毎日のミーティングで常に疑問を投げかけ、解決への支援を求める
チームのコラボレーションが良い:問題を解決するために、常にサブグループとして他のメンバーとコミュニケーションを取る
</t>
    </r>
  </si>
  <si>
    <t>Funabashi
KU03100G</t>
  </si>
  <si>
    <t>Funabashi
N207130G</t>
  </si>
  <si>
    <t>Okayama
N203VS0G</t>
  </si>
  <si>
    <t>Okayama
N203Y10G</t>
  </si>
  <si>
    <t>Yap Sun Wei</t>
  </si>
  <si>
    <t>船橋
Task1:6件、テストケース過多/不足、単純ミス、テストエビデンス不足,納品資産の不足
Task2:1件、画面編集ミス
Task3:1件、テストエビデンス不足
Task4:2件、テストエビデンス不足,構成資産一覧記入不足</t>
  </si>
  <si>
    <r>
      <t xml:space="preserve">New Joiner to company. Still taking time to get used to the development process. 
As a result, self-check not enough, took many reviews to understand the coding standards. But member actively engages other members to discuss and find solutions. Good attitude, never complains
</t>
    </r>
    <r>
      <rPr>
        <sz val="8"/>
        <color theme="4"/>
        <rFont val="Meiryo UI"/>
        <family val="2"/>
      </rPr>
      <t>新しいジョイナを会社に。まだ開発プロセスに慣れるのに時間がかかっています。
その結果、自己チェックが十分ではなく、コーディング規約を理解するために多くのレビューを要した。しかし、メンバーは積極的に他のメンバーを巻き込んで議論し、解決策を見つけます。良い態度、決して不平を言わない</t>
    </r>
  </si>
  <si>
    <r>
      <t xml:space="preserve">High Productivity. 
Proactive: Tasks are started ahead of time.
Highly responsive: Responsed to QA and Review Fix quickly.
High commitment: Always raising questions in daily meeting to ask for help in solution
Team collaboaration good: Always communicating with other members as a subgroup to solve problems
</t>
    </r>
    <r>
      <rPr>
        <sz val="8"/>
        <color theme="4"/>
        <rFont val="Meiryo UI"/>
        <family val="2"/>
      </rPr>
      <t xml:space="preserve">生産性高い
プロアクティブ:タスクは事前に開始されます。
高い応答性:QAおよびレビュー修正に迅速に対応。
高いコミットメント:毎日のミーティングで常に疑問を投げかけ、解決への支援を求める
チームのコラボレーションが良い:問題を解決するために、常にサブグループとして他のメンバーとコミュニケーションを取る
</t>
    </r>
  </si>
  <si>
    <t>Funabashi
N202660G</t>
  </si>
  <si>
    <t>Funabashi
KU04020G</t>
  </si>
  <si>
    <t>Funabashi
N207010G</t>
  </si>
  <si>
    <t>Funabashi
N207580G</t>
  </si>
  <si>
    <t>Okayama
N203640G</t>
  </si>
  <si>
    <t>Chan Jiunn Hong</t>
  </si>
  <si>
    <t>One of our strong members. In charge of guiding our junior members and peer-review.
Helpful and responsible.
However, own tasks suffers because of the above distractions. Careless mistakes were made</t>
  </si>
  <si>
    <t>船橋
Task1:2件、テストエビデンス不足、単純ミス
Task2:3件、テストケース過多/不足、画面編集ミス、テストケース理解不足
Task3:1件、テストエビデンス不足</t>
  </si>
  <si>
    <r>
      <t xml:space="preserve">One of our strong members. In charge of guiding our junior members and peer-review.
Helpful and responsible.
However, own tasks suffers because of the above distractions. Careless mistakes were made
</t>
    </r>
    <r>
      <rPr>
        <sz val="8"/>
        <color theme="4"/>
        <rFont val="Meiryo UI"/>
        <family val="2"/>
      </rPr>
      <t>強力なメンバーの一人です。後輩の指導と査読を担当。
親切で責任感があります。
しかし、自分のタスクは、上記の注意散漫のために損なわれます。不注意なミスがあった</t>
    </r>
  </si>
  <si>
    <r>
      <t xml:space="preserve">High Productivity. Good leadership
Proactive: Tasks are started ahead of time. 
Helpful: Always helping other members on their problems.
High technical skill: Has the best technical understanding of the IPK 
Team collaboaration good: Always communicating with AERO members
</t>
    </r>
    <r>
      <rPr>
        <sz val="8"/>
        <color theme="4"/>
        <rFont val="Meiryo UI"/>
        <family val="2"/>
      </rPr>
      <t>高い生産性。リーダーシップが優れている。
プロアクティブ:タスクは事前に開始されます。
役に立つ:他のメンバーの問題を常に手助けします。
高度な技術的スキル:IPKに関する技術的な理解が最も高い
チームのコラボレーションが良好:AEROのメンバーと常にコミュニケーションを取る</t>
    </r>
  </si>
  <si>
    <t>Funabashi
KU03010G</t>
  </si>
  <si>
    <t>Funabashi
N207030G</t>
  </si>
  <si>
    <t>Funabashi
N202N50G</t>
  </si>
  <si>
    <t>Funabashi
KUL0020G</t>
  </si>
  <si>
    <t>Okayama
N204800G</t>
  </si>
  <si>
    <t>Muhammad Jamal Nur Amalina Binti</t>
  </si>
  <si>
    <t>船橋
Task1:8件、テストケース過多/不足、単純ミス,テストエビデンス不足、納品資産の不足
Task2:2件、テストケース理解不足,テストエビデンス不足
Task3:2件、納品資産の不足,構成資産一覧記入不足</t>
  </si>
  <si>
    <r>
      <t xml:space="preserve">High Productivity. Good Leadership.
Proactive: Tasks are started ahead of time.
Helpful: Always helping other members on their problems.
Good communicator: Always communicating with PH GDC managers and PIC. In good relationship.
Team collaboaration good: Always communicating with AERO members
</t>
    </r>
    <r>
      <rPr>
        <sz val="8"/>
        <color theme="4"/>
        <rFont val="Meiryo UI"/>
        <family val="2"/>
      </rPr>
      <t>高い生産性。リーダーシップが優れている。
プロアクティブ:タスクは事前に開始されます。
役に立つ:他のメンバーの問題を常に手助けします。
コミュニケーション上手:PH GDCのマネージャーや機長と常にコミュニケーションを取る。良い関係です。
チームのコラボレーションが良好:AEROのメンバーと常にコミュニケーションを取る</t>
    </r>
  </si>
  <si>
    <t>Funabashi
KU03020G</t>
  </si>
  <si>
    <t>Funabashi
N207040G</t>
  </si>
  <si>
    <t>Funabashi
N202NF0G</t>
  </si>
  <si>
    <t>Funabashi
N280C50G</t>
  </si>
  <si>
    <t>Okayama
N203710G</t>
  </si>
  <si>
    <t>Okayama
N203W90G</t>
  </si>
  <si>
    <t>Nurul Nadia Binti Jamil Abdul Nasir</t>
  </si>
  <si>
    <t>New Joiner to company. Still taking time to get used to the development process. 
As a result, mistakes were made and took many reviews to understand the coding standards. But member actively engages other members to discuss and find solutions. Good attitude, never complains</t>
  </si>
  <si>
    <t>船橋
Task1:1件、テストエビデンス不足
Task2:4件、テストケース過多/不足、画面編集ミス,テストエビデンス不足
Task3:3件、単純ミス</t>
  </si>
  <si>
    <r>
      <t xml:space="preserve">New Joiner to company. Still taking time to get used to the development process. 
As a result, mistakes were made and took many reviews to understand the coding standards. But member actively engages other members to discuss and find solutions. Good attitude, never complains
</t>
    </r>
    <r>
      <rPr>
        <sz val="8"/>
        <color theme="4"/>
        <rFont val="Meiryo UI"/>
        <family val="2"/>
      </rPr>
      <t>新しいジョイナを会社に。まだ開発プロセスに慣れるのに時間がかかっています。
その結果、間違いが発生し、コーディング規約を理解するために多くのレビューを要した。しかし、メンバーは積極的に他のメンバーを巻き込んで議論し、解決策を見つけます。良い態度、決して不平を言わない</t>
    </r>
  </si>
  <si>
    <r>
      <t xml:space="preserve">High Productivity and Quality
Proactive: Tasks are started ahead of time.
Meticulous: Always careful and aware not to make too many mistakes. Sometimes slow but trying to be safe.
Team collaboaration good: Always communicating with Team leaders on progress and helping other members
</t>
    </r>
    <r>
      <rPr>
        <sz val="8"/>
        <color theme="4"/>
        <rFont val="Meiryo UI"/>
        <family val="2"/>
      </rPr>
      <t>生産性品質が高い。
プロアクティブ:タスクは事前に開始されます。
几帳面:あまり多くの間違いをしないように常に注意し、意識している。時にはゆっくりですが、安全を心がけています。
チームのコラボレーションが良い:進捗状況についてチームリーダーと常にコミュニケーションをとり、他のメンバーを支援する</t>
    </r>
  </si>
  <si>
    <t>Funabashi
N203220G</t>
  </si>
  <si>
    <t>Funabashi
KU02A10G</t>
  </si>
  <si>
    <t>Funabashi
N203620G</t>
  </si>
  <si>
    <t>Okayama
N2039C0G</t>
  </si>
  <si>
    <t>Okayama
N203X60G</t>
  </si>
  <si>
    <t>Nurul Afiqah Binti Zakaria</t>
  </si>
  <si>
    <t>船橋
Task1:3件、単純ミス、納品資産の不足
Task2:2件、納品資産の不足、エビデンス改善要</t>
  </si>
  <si>
    <r>
      <t xml:space="preserve">High Productivity. 
Proactive: Tasks are started ahead of time.
Meticulous: Always careful and aware not to make too many mistakes. Sometimes slow but trying to be safe.
Team collaboaration good: Always communicating with Team leaders on progress and helping other members
</t>
    </r>
    <r>
      <rPr>
        <sz val="8"/>
        <color theme="4"/>
        <rFont val="Meiryo UI"/>
        <family val="2"/>
      </rPr>
      <t>高い生産性。
プロアクティブ:タスクは事前に開始されます。
几帳面:あまり多くの間違いをしないように常に注意し、意識している。時にはゆっくりですが、安全を心がけています。
チームのコラボレーションが良い:進捗状況についてチームリーダーと常にコミュニケーションをとり、他のメンバーを支援する</t>
    </r>
  </si>
  <si>
    <t>Funabashi
N207060G</t>
  </si>
  <si>
    <t>Funabashi
KUL0010G</t>
  </si>
  <si>
    <t>Funabashi
KUI2020G</t>
  </si>
  <si>
    <t>Okayama
N204100G</t>
  </si>
  <si>
    <t>Okayama
N204160G</t>
  </si>
  <si>
    <t>3/1 Score</t>
  </si>
  <si>
    <t>Continue to conduct by the end of Mar. 30 → Released</t>
  </si>
  <si>
    <t>Conduct on-going task → Released</t>
  </si>
  <si>
    <t>Completion Rate</t>
  </si>
  <si>
    <t>Headcount</t>
  </si>
  <si>
    <t>100% with 1 blocked task</t>
  </si>
  <si>
    <t>100% with 2 blocked tasks</t>
  </si>
  <si>
    <t>1 task remaining</t>
  </si>
  <si>
    <t>1 task remaining with 1 blocked task</t>
  </si>
  <si>
    <t>1 task remaining with 2 blocked tasks</t>
  </si>
  <si>
    <t>2 tasks remaining</t>
  </si>
  <si>
    <t>2 task remaining with 1 blocked task</t>
  </si>
  <si>
    <t>2 task remaining with 2 blocked tasks</t>
  </si>
  <si>
    <t>3 and up remaining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</si>
</sst>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164" formatCode="0.0%"/>
    <numFmt numFmtId="165" formatCode="0.0&quot;h&quot;"/>
    <numFmt numFmtId="166" formatCode="0.0_ "/>
    <numFmt numFmtId="167" formatCode="&quot;Task &quot;#"/>
    <numFmt numFmtId="168" formatCode="m/d;@"/>
    <numFmt numFmtId="169" formatCode="0.0"/>
    <numFmt numFmtId="170" formatCode="0.00_ "/>
    <numFmt numFmtId="171" formatCode="[$-409]d\-mmm;@"/>
    <numFmt numFmtId="172" formatCode="0.000_ "/>
  </numFmts>
  <fonts count="50">
    <font>
      <sz val="8"/>
      <name val="Meiryo UI"/>
    </font>
    <font>
      <sz val="11"/>
      <color theme="1"/>
      <name val="Calibri"/>
      <family val="2"/>
      <scheme val="minor"/>
    </font>
    <font>
      <sz val="10"/>
      <color theme="1"/>
      <name val="Meiryo UI"/>
      <family val="2"/>
      <charset val="128"/>
    </font>
    <font>
      <sz val="5"/>
      <name val="Meiryo UI"/>
      <family val="3"/>
      <charset val="128"/>
    </font>
    <font>
      <sz val="11"/>
      <name val="Meiryo UI"/>
      <family val="3"/>
      <charset val="128"/>
    </font>
    <font>
      <sz val="8"/>
      <name val="Meiryo UI"/>
      <family val="3"/>
      <charset val="128"/>
    </font>
    <font>
      <sz val="8"/>
      <color rgb="FFC00000"/>
      <name val="Meiryo UI"/>
      <family val="3"/>
      <charset val="128"/>
    </font>
    <font>
      <b/>
      <sz val="11"/>
      <name val="Meiryo UI"/>
      <family val="3"/>
      <charset val="128"/>
    </font>
    <font>
      <b/>
      <sz val="10"/>
      <name val="Meiryo UI"/>
      <family val="3"/>
      <charset val="128"/>
    </font>
    <font>
      <sz val="10"/>
      <name val="Meiryo UI"/>
      <family val="3"/>
      <charset val="128"/>
    </font>
    <font>
      <sz val="6"/>
      <name val="ＭＳ Ｐゴシック"/>
      <family val="3"/>
      <charset val="128"/>
    </font>
    <font>
      <b/>
      <sz val="10"/>
      <color rgb="FFFFFFFF"/>
      <name val="Meiryo UI"/>
      <family val="3"/>
      <charset val="128"/>
    </font>
    <font>
      <sz val="10"/>
      <color rgb="FF000000"/>
      <name val="Meiryo UI"/>
      <family val="3"/>
      <charset val="128"/>
    </font>
    <font>
      <sz val="6"/>
      <name val="Meiryo UI"/>
      <family val="3"/>
      <charset val="128"/>
    </font>
    <font>
      <b/>
      <sz val="10"/>
      <color theme="0"/>
      <name val="Meiryo UI"/>
      <family val="3"/>
      <charset val="128"/>
    </font>
    <font>
      <sz val="9"/>
      <name val="Meiryo UI"/>
      <family val="3"/>
      <charset val="128"/>
    </font>
    <font>
      <sz val="6"/>
      <name val="Meiryo UI"/>
      <family val="2"/>
      <charset val="128"/>
    </font>
    <font>
      <sz val="11"/>
      <color rgb="FF000000"/>
      <name val="Calibri"/>
      <family val="2"/>
    </font>
    <font>
      <b/>
      <sz val="8"/>
      <name val="Meiryo UI"/>
      <family val="3"/>
      <charset val="128"/>
    </font>
    <font>
      <sz val="8"/>
      <color rgb="FF000000"/>
      <name val="Meiryo UI"/>
      <family val="2"/>
    </font>
    <font>
      <sz val="8"/>
      <color theme="0"/>
      <name val="Meiryo UI"/>
      <family val="3"/>
      <charset val="128"/>
    </font>
    <font>
      <sz val="11"/>
      <color rgb="FF000000"/>
      <name val="Meiryo UI"/>
      <family val="3"/>
      <charset val="128"/>
    </font>
    <font>
      <sz val="8"/>
      <color rgb="FF000000"/>
      <name val="Meiryo UI"/>
      <family val="3"/>
      <charset val="128"/>
    </font>
    <font>
      <b/>
      <sz val="8"/>
      <color rgb="FF000000"/>
      <name val="Meiryo UI"/>
      <family val="3"/>
      <charset val="128"/>
    </font>
    <font>
      <b/>
      <sz val="8"/>
      <color rgb="FF000000"/>
      <name val="Meiryo UI"/>
      <family val="2"/>
    </font>
    <font>
      <sz val="10"/>
      <name val="Meiryo UI"/>
      <family val="2"/>
    </font>
    <font>
      <u/>
      <sz val="11"/>
      <color theme="10"/>
      <name val="Calibri"/>
      <family val="2"/>
      <scheme val="minor"/>
    </font>
    <font>
      <b/>
      <sz val="8"/>
      <color theme="1"/>
      <name val="Meiryo UI"/>
      <family val="3"/>
      <charset val="128"/>
    </font>
    <font>
      <sz val="8"/>
      <name val="Meiryo UI"/>
      <family val="3"/>
      <charset val="128"/>
    </font>
    <font>
      <sz val="8"/>
      <color rgb="FFFF0000"/>
      <name val="Meiryo UI"/>
      <family val="3"/>
      <charset val="128"/>
    </font>
    <font>
      <sz val="11"/>
      <color rgb="FF444444"/>
      <name val="Aptos Narrow"/>
      <family val="2"/>
    </font>
    <font>
      <sz val="8"/>
      <color theme="1"/>
      <name val="Meiryo UI"/>
      <family val="3"/>
      <charset val="128"/>
    </font>
    <font>
      <strike/>
      <sz val="8"/>
      <name val="Meiryo UI"/>
      <family val="3"/>
      <charset val="128"/>
    </font>
    <font>
      <b/>
      <sz val="8"/>
      <name val="Meiryo UI"/>
      <family val="2"/>
    </font>
    <font>
      <sz val="8"/>
      <name val="Meiryo UI"/>
      <family val="2"/>
    </font>
    <font>
      <b/>
      <sz val="8"/>
      <color rgb="FFFF0000"/>
      <name val="Meiryo UI"/>
      <family val="3"/>
      <charset val="128"/>
    </font>
    <font>
      <sz val="8"/>
      <name val="Meiryo"/>
      <family val="3"/>
      <charset val="128"/>
    </font>
    <font>
      <sz val="8"/>
      <color theme="1"/>
      <name val="Meiryo"/>
      <family val="3"/>
      <charset val="128"/>
    </font>
    <font>
      <b/>
      <strike/>
      <sz val="8"/>
      <name val="Meiryo UI"/>
      <family val="3"/>
      <charset val="128"/>
    </font>
    <font>
      <b/>
      <sz val="9"/>
      <name val="Meiryo UI"/>
      <family val="3"/>
      <charset val="128"/>
    </font>
    <font>
      <sz val="7"/>
      <name val="Meiryo UI"/>
      <family val="3"/>
      <charset val="128"/>
    </font>
    <font>
      <sz val="8"/>
      <color rgb="FF0070C0"/>
      <name val="Meiryo UI"/>
      <family val="3"/>
      <charset val="128"/>
    </font>
    <font>
      <b/>
      <sz val="8"/>
      <color rgb="FF0070C0"/>
      <name val="Meiryo UI"/>
      <family val="3"/>
      <charset val="128"/>
    </font>
    <font>
      <sz val="11"/>
      <color theme="1"/>
      <name val="Meiryo UI"/>
      <family val="3"/>
      <charset val="128"/>
    </font>
    <font>
      <sz val="10"/>
      <color rgb="FFFF0000"/>
      <name val="Meiryo UI"/>
      <family val="3"/>
      <charset val="128"/>
    </font>
    <font>
      <sz val="8"/>
      <color rgb="FFFF0000"/>
      <name val="Meiryo UI"/>
      <family val="2"/>
    </font>
    <font>
      <sz val="8"/>
      <color theme="4" tint="-0.249977111117893"/>
      <name val="Meiryo UI"/>
      <family val="2"/>
    </font>
    <font>
      <sz val="8"/>
      <color theme="4"/>
      <name val="Meiryo UI"/>
      <family val="2"/>
    </font>
    <font>
      <b/>
      <sz val="8"/>
      <color rgb="FF000000"/>
      <name val="Meiryo UI"/>
    </font>
    <font>
      <sz val="8"/>
      <color rgb="FF000000"/>
      <name val="Meiryo UI"/>
    </font>
  </fonts>
  <fills count="2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2400B0"/>
        <bgColor indexed="64"/>
      </patternFill>
    </fill>
    <fill>
      <patternFill patternType="solid">
        <fgColor rgb="FFCCCBE4"/>
        <bgColor indexed="64"/>
      </patternFill>
    </fill>
    <fill>
      <patternFill patternType="solid">
        <fgColor rgb="FFE8E7F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tint="-0.499984740745262"/>
        <bgColor indexed="64"/>
      </patternFill>
    </fill>
    <fill>
      <patternFill patternType="solid">
        <fgColor rgb="FFFFC7CE"/>
        <bgColor indexed="64"/>
      </patternFill>
    </fill>
    <fill>
      <patternFill patternType="solid">
        <fgColor theme="0" tint="-0.14999847407452621"/>
        <bgColor indexed="64"/>
      </patternFill>
    </fill>
    <fill>
      <patternFill patternType="solid">
        <fgColor rgb="FFFFC000"/>
        <bgColor indexed="64"/>
      </patternFill>
    </fill>
    <fill>
      <patternFill patternType="solid">
        <fgColor theme="1" tint="0.499984740745262"/>
        <bgColor indexed="64"/>
      </patternFill>
    </fill>
    <fill>
      <patternFill patternType="solid">
        <fgColor theme="7" tint="0.79998168889431442"/>
        <bgColor rgb="FF000000"/>
      </patternFill>
    </fill>
    <fill>
      <patternFill patternType="solid">
        <fgColor rgb="FFFFFF00"/>
        <bgColor rgb="FF000000"/>
      </patternFill>
    </fill>
    <fill>
      <patternFill patternType="solid">
        <fgColor rgb="FFFF0000"/>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auto="1"/>
      </top>
      <bottom/>
      <diagonal/>
    </border>
    <border>
      <left/>
      <right/>
      <top/>
      <bottom style="thin">
        <color auto="1"/>
      </bottom>
      <diagonal/>
    </border>
    <border>
      <left style="thin">
        <color indexed="64"/>
      </left>
      <right/>
      <top/>
      <bottom style="hair">
        <color indexed="64"/>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
      <left style="medium">
        <color theme="0" tint="-4.9989318521683403E-2"/>
      </left>
      <right/>
      <top style="medium">
        <color theme="0" tint="-4.9989318521683403E-2"/>
      </top>
      <bottom style="medium">
        <color theme="0" tint="-4.9989318521683403E-2"/>
      </bottom>
      <diagonal/>
    </border>
    <border>
      <left/>
      <right/>
      <top style="medium">
        <color theme="0" tint="-4.9989318521683403E-2"/>
      </top>
      <bottom style="medium">
        <color theme="0" tint="-4.9989318521683403E-2"/>
      </bottom>
      <diagonal/>
    </border>
    <border>
      <left/>
      <right style="medium">
        <color theme="0" tint="-4.9989318521683403E-2"/>
      </right>
      <top style="medium">
        <color theme="0" tint="-4.9989318521683403E-2"/>
      </top>
      <bottom style="medium">
        <color theme="0" tint="-4.9989318521683403E-2"/>
      </bottom>
      <diagonal/>
    </border>
    <border>
      <left style="medium">
        <color theme="0" tint="-4.9989318521683403E-2"/>
      </left>
      <right style="medium">
        <color theme="0" tint="-4.9989318521683403E-2"/>
      </right>
      <top style="medium">
        <color theme="0" tint="-4.9989318521683403E-2"/>
      </top>
      <bottom/>
      <diagonal/>
    </border>
    <border>
      <left style="medium">
        <color theme="0" tint="-4.9989318521683403E-2"/>
      </left>
      <right style="medium">
        <color theme="0" tint="-4.9989318521683403E-2"/>
      </right>
      <top/>
      <bottom style="medium">
        <color theme="0" tint="-4.9989318521683403E-2"/>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auto="1"/>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top style="thin">
        <color indexed="64"/>
      </top>
      <bottom style="thin">
        <color indexed="64"/>
      </bottom>
      <diagonal/>
    </border>
    <border>
      <left/>
      <right/>
      <top/>
      <bottom style="mediumDashDot">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thin">
        <color indexed="64"/>
      </top>
      <bottom style="double">
        <color indexed="64"/>
      </bottom>
      <diagonal/>
    </border>
  </borders>
  <cellStyleXfs count="7">
    <xf numFmtId="0" fontId="0" fillId="0" borderId="0">
      <alignment vertical="center"/>
    </xf>
    <xf numFmtId="0" fontId="2" fillId="0" borderId="0">
      <alignment vertical="center"/>
    </xf>
    <xf numFmtId="0" fontId="13" fillId="0" borderId="0">
      <alignment vertical="center"/>
    </xf>
    <xf numFmtId="0" fontId="1" fillId="0" borderId="0"/>
    <xf numFmtId="0" fontId="26" fillId="0" borderId="0" applyNumberFormat="0" applyFill="0" applyBorder="0" applyAlignment="0" applyProtection="0"/>
    <xf numFmtId="9" fontId="28" fillId="0" borderId="0" applyFont="0" applyFill="0" applyBorder="0" applyAlignment="0" applyProtection="0"/>
    <xf numFmtId="0" fontId="5" fillId="0" borderId="0">
      <alignment vertical="center"/>
    </xf>
  </cellStyleXfs>
  <cellXfs count="604">
    <xf numFmtId="0" fontId="0" fillId="0" borderId="0" xfId="0">
      <alignment vertical="center"/>
    </xf>
    <xf numFmtId="0" fontId="0" fillId="0" borderId="9" xfId="0" applyBorder="1">
      <alignment vertical="center"/>
    </xf>
    <xf numFmtId="0" fontId="0" fillId="0" borderId="10"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165" fontId="0" fillId="0" borderId="1" xfId="0" applyNumberFormat="1" applyBorder="1">
      <alignment vertical="center"/>
    </xf>
    <xf numFmtId="0" fontId="0" fillId="2" borderId="5" xfId="0" applyFill="1" applyBorder="1">
      <alignment vertical="center"/>
    </xf>
    <xf numFmtId="0" fontId="0" fillId="2" borderId="7" xfId="0" applyFill="1" applyBorder="1">
      <alignment vertical="center"/>
    </xf>
    <xf numFmtId="0" fontId="0" fillId="2" borderId="7" xfId="0" applyFill="1" applyBorder="1" applyAlignment="1">
      <alignment horizontal="left" vertical="center"/>
    </xf>
    <xf numFmtId="0" fontId="0" fillId="2" borderId="8"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lignment vertical="center"/>
    </xf>
    <xf numFmtId="0" fontId="4" fillId="0" borderId="1" xfId="0" applyFont="1" applyBorder="1" applyAlignment="1">
      <alignment horizontal="center" vertical="center"/>
    </xf>
    <xf numFmtId="0" fontId="0" fillId="2" borderId="13" xfId="0" applyFill="1" applyBorder="1">
      <alignment vertical="center"/>
    </xf>
    <xf numFmtId="0" fontId="0" fillId="0" borderId="14" xfId="0" applyBorder="1">
      <alignment vertical="center"/>
    </xf>
    <xf numFmtId="0" fontId="0" fillId="0" borderId="15" xfId="0" applyBorder="1">
      <alignment vertical="center"/>
    </xf>
    <xf numFmtId="0" fontId="0" fillId="2" borderId="2" xfId="0" applyFill="1" applyBorder="1">
      <alignment vertical="center"/>
    </xf>
    <xf numFmtId="0" fontId="5" fillId="2" borderId="11" xfId="0" applyFont="1" applyFill="1" applyBorder="1">
      <alignment vertical="center"/>
    </xf>
    <xf numFmtId="0" fontId="5" fillId="2" borderId="16" xfId="0" applyFont="1" applyFill="1" applyBorder="1" applyAlignment="1">
      <alignment vertical="center" wrapText="1"/>
    </xf>
    <xf numFmtId="0" fontId="5" fillId="2" borderId="9" xfId="0" applyFont="1" applyFill="1" applyBorder="1" applyAlignment="1">
      <alignment horizontal="center" vertical="center" wrapText="1"/>
    </xf>
    <xf numFmtId="0" fontId="5" fillId="0" borderId="15" xfId="0" applyFont="1" applyBorder="1">
      <alignment vertical="center"/>
    </xf>
    <xf numFmtId="0" fontId="5" fillId="2" borderId="6" xfId="0" applyFont="1" applyFill="1" applyBorder="1" applyAlignment="1">
      <alignment horizontal="center" vertical="center" wrapText="1"/>
    </xf>
    <xf numFmtId="0" fontId="5" fillId="0" borderId="0" xfId="0" applyFont="1">
      <alignment vertical="center"/>
    </xf>
    <xf numFmtId="0" fontId="7" fillId="0" borderId="0" xfId="0" applyFont="1">
      <alignment vertical="center"/>
    </xf>
    <xf numFmtId="0" fontId="5" fillId="2" borderId="7" xfId="0" applyFont="1" applyFill="1" applyBorder="1">
      <alignment vertical="center"/>
    </xf>
    <xf numFmtId="0" fontId="5" fillId="0" borderId="1" xfId="0" applyFont="1" applyBorder="1">
      <alignment vertical="center"/>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2" borderId="7" xfId="0" applyFont="1" applyFill="1" applyBorder="1" applyAlignment="1">
      <alignment vertical="center" wrapText="1"/>
    </xf>
    <xf numFmtId="0" fontId="5" fillId="2" borderId="5" xfId="0" applyFont="1" applyFill="1" applyBorder="1">
      <alignment vertical="center"/>
    </xf>
    <xf numFmtId="0" fontId="8" fillId="0" borderId="8" xfId="0" applyFont="1" applyBorder="1">
      <alignment vertical="center"/>
    </xf>
    <xf numFmtId="164" fontId="0" fillId="2" borderId="1" xfId="0" applyNumberFormat="1" applyFill="1" applyBorder="1">
      <alignment vertical="center"/>
    </xf>
    <xf numFmtId="0" fontId="5" fillId="0" borderId="9" xfId="0" applyFont="1" applyBorder="1">
      <alignment vertical="center"/>
    </xf>
    <xf numFmtId="0" fontId="5" fillId="2" borderId="0" xfId="0" applyFont="1" applyFill="1">
      <alignment vertical="center"/>
    </xf>
    <xf numFmtId="0" fontId="5" fillId="0" borderId="1" xfId="0" applyFont="1" applyBorder="1" applyAlignment="1">
      <alignment horizontal="center" vertical="center" wrapText="1"/>
    </xf>
    <xf numFmtId="166" fontId="0" fillId="2" borderId="1" xfId="0" applyNumberFormat="1" applyFill="1" applyBorder="1">
      <alignment vertical="center"/>
    </xf>
    <xf numFmtId="165" fontId="6" fillId="2" borderId="12" xfId="0" applyNumberFormat="1" applyFont="1" applyFill="1" applyBorder="1" applyAlignment="1">
      <alignment horizontal="center" vertical="center"/>
    </xf>
    <xf numFmtId="165" fontId="6" fillId="2" borderId="13" xfId="0" applyNumberFormat="1" applyFont="1" applyFill="1" applyBorder="1" applyAlignment="1">
      <alignment horizontal="center" vertical="center"/>
    </xf>
    <xf numFmtId="165" fontId="5" fillId="2" borderId="11" xfId="0" applyNumberFormat="1" applyFont="1" applyFill="1" applyBorder="1" applyAlignment="1">
      <alignment horizontal="left" vertical="center"/>
    </xf>
    <xf numFmtId="0" fontId="5" fillId="2" borderId="12" xfId="0" applyFont="1" applyFill="1" applyBorder="1" applyAlignment="1">
      <alignment vertical="center" wrapText="1"/>
    </xf>
    <xf numFmtId="166" fontId="0" fillId="0" borderId="1" xfId="0" applyNumberFormat="1" applyBorder="1">
      <alignment vertical="center"/>
    </xf>
    <xf numFmtId="0" fontId="5" fillId="2" borderId="8" xfId="0" applyFont="1" applyFill="1" applyBorder="1">
      <alignment vertical="center"/>
    </xf>
    <xf numFmtId="0" fontId="4" fillId="0" borderId="0" xfId="0" applyFont="1" applyAlignment="1">
      <alignment horizontal="center" vertical="center"/>
    </xf>
    <xf numFmtId="0" fontId="0" fillId="4" borderId="5" xfId="0" applyFill="1" applyBorder="1" applyAlignment="1">
      <alignment vertical="center" wrapText="1"/>
    </xf>
    <xf numFmtId="0" fontId="0" fillId="4" borderId="5" xfId="0" applyFill="1" applyBorder="1">
      <alignment vertical="center"/>
    </xf>
    <xf numFmtId="0" fontId="5" fillId="4" borderId="7" xfId="0" applyFont="1" applyFill="1" applyBorder="1" applyAlignment="1">
      <alignment horizontal="left" vertical="center" wrapText="1"/>
    </xf>
    <xf numFmtId="0" fontId="0" fillId="4" borderId="7" xfId="0" applyFill="1" applyBorder="1" applyAlignment="1">
      <alignment vertical="center" wrapText="1"/>
    </xf>
    <xf numFmtId="0" fontId="5" fillId="2" borderId="7" xfId="0" applyFont="1" applyFill="1" applyBorder="1" applyAlignment="1">
      <alignment horizontal="left" vertical="center"/>
    </xf>
    <xf numFmtId="0" fontId="5" fillId="2" borderId="7" xfId="0" applyFont="1" applyFill="1" applyBorder="1" applyAlignment="1">
      <alignment horizontal="left" vertical="center" wrapText="1"/>
    </xf>
    <xf numFmtId="0" fontId="0" fillId="2" borderId="14" xfId="0" applyFill="1" applyBorder="1">
      <alignment vertical="center"/>
    </xf>
    <xf numFmtId="0" fontId="0" fillId="0" borderId="0" xfId="0" applyAlignment="1">
      <alignment horizontal="center" vertical="center"/>
    </xf>
    <xf numFmtId="0" fontId="5" fillId="3" borderId="7" xfId="0" applyFont="1" applyFill="1" applyBorder="1" applyAlignment="1">
      <alignment vertical="center" wrapText="1"/>
    </xf>
    <xf numFmtId="166" fontId="0" fillId="0" borderId="0" xfId="0" applyNumberFormat="1">
      <alignment vertical="center"/>
    </xf>
    <xf numFmtId="166" fontId="4" fillId="3" borderId="1" xfId="0" applyNumberFormat="1" applyFont="1" applyFill="1" applyBorder="1" applyAlignment="1">
      <alignment horizontal="center" vertical="center"/>
    </xf>
    <xf numFmtId="0" fontId="0" fillId="3" borderId="14" xfId="0" applyFill="1" applyBorder="1">
      <alignment vertical="center"/>
    </xf>
    <xf numFmtId="0" fontId="0" fillId="3" borderId="2" xfId="0" applyFill="1" applyBorder="1">
      <alignment vertical="center"/>
    </xf>
    <xf numFmtId="0" fontId="0" fillId="3" borderId="3" xfId="0" applyFill="1" applyBorder="1">
      <alignment vertical="center"/>
    </xf>
    <xf numFmtId="0" fontId="5" fillId="2" borderId="2" xfId="0" applyFont="1" applyFill="1" applyBorder="1">
      <alignment vertical="center"/>
    </xf>
    <xf numFmtId="0" fontId="9" fillId="0" borderId="0" xfId="0" applyFont="1">
      <alignment vertical="center"/>
    </xf>
    <xf numFmtId="0" fontId="9" fillId="5" borderId="17" xfId="0" applyFont="1" applyFill="1" applyBorder="1" applyAlignment="1">
      <alignment horizontal="center" vertical="top" wrapText="1"/>
    </xf>
    <xf numFmtId="0" fontId="11" fillId="5" borderId="17" xfId="0" applyFont="1" applyFill="1" applyBorder="1" applyAlignment="1">
      <alignment horizontal="center" vertical="center" wrapText="1" readingOrder="1"/>
    </xf>
    <xf numFmtId="0" fontId="12" fillId="6" borderId="17" xfId="0" applyFont="1" applyFill="1" applyBorder="1" applyAlignment="1">
      <alignment horizontal="center" vertical="center" wrapText="1" readingOrder="1"/>
    </xf>
    <xf numFmtId="0" fontId="12" fillId="7" borderId="17" xfId="0" applyFont="1" applyFill="1" applyBorder="1" applyAlignment="1">
      <alignment horizontal="center" vertical="center" wrapText="1" readingOrder="1"/>
    </xf>
    <xf numFmtId="0" fontId="5" fillId="6" borderId="17" xfId="2" applyFont="1" applyFill="1" applyBorder="1" applyAlignment="1">
      <alignment horizontal="center" vertical="center" wrapText="1" readingOrder="1"/>
    </xf>
    <xf numFmtId="0" fontId="5" fillId="7" borderId="17" xfId="2" applyFont="1" applyFill="1" applyBorder="1" applyAlignment="1">
      <alignment horizontal="center" vertical="center" wrapText="1" readingOrder="1"/>
    </xf>
    <xf numFmtId="0" fontId="14" fillId="5" borderId="17" xfId="2" applyFont="1" applyFill="1" applyBorder="1" applyAlignment="1">
      <alignment horizontal="center" vertical="top" wrapText="1"/>
    </xf>
    <xf numFmtId="0" fontId="14" fillId="5" borderId="17" xfId="2" applyFont="1" applyFill="1" applyBorder="1" applyAlignment="1">
      <alignment horizontal="center" vertical="center" wrapText="1" readingOrder="1"/>
    </xf>
    <xf numFmtId="0" fontId="9" fillId="0" borderId="0" xfId="2" applyFont="1">
      <alignment vertical="center"/>
    </xf>
    <xf numFmtId="0" fontId="8" fillId="0" borderId="14" xfId="0" applyFont="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5" fillId="2" borderId="3" xfId="0" applyFont="1" applyFill="1" applyBorder="1">
      <alignment vertical="center"/>
    </xf>
    <xf numFmtId="0" fontId="0" fillId="8" borderId="1" xfId="0" applyFill="1" applyBorder="1" applyAlignment="1">
      <alignment horizontal="center" vertical="center"/>
    </xf>
    <xf numFmtId="164" fontId="0" fillId="8" borderId="1" xfId="0" applyNumberFormat="1" applyFill="1" applyBorder="1" applyAlignment="1">
      <alignment horizontal="center" vertical="center"/>
    </xf>
    <xf numFmtId="0" fontId="5" fillId="8" borderId="1" xfId="0" applyFont="1" applyFill="1" applyBorder="1" applyAlignment="1">
      <alignment horizontal="center" vertical="center"/>
    </xf>
    <xf numFmtId="0" fontId="15" fillId="9" borderId="26" xfId="0" applyFont="1" applyFill="1" applyBorder="1">
      <alignment vertical="center"/>
    </xf>
    <xf numFmtId="0" fontId="15" fillId="10" borderId="26" xfId="0" applyFont="1" applyFill="1" applyBorder="1">
      <alignment vertical="center"/>
    </xf>
    <xf numFmtId="0" fontId="0" fillId="0" borderId="1" xfId="0" applyBorder="1" applyAlignment="1">
      <alignment horizontal="center" vertical="center" wrapText="1"/>
    </xf>
    <xf numFmtId="0" fontId="0" fillId="0" borderId="2" xfId="0" applyBorder="1">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165" fontId="0" fillId="0" borderId="5" xfId="0" applyNumberFormat="1" applyBorder="1">
      <alignment vertical="center"/>
    </xf>
    <xf numFmtId="164" fontId="0" fillId="2" borderId="5" xfId="0" applyNumberFormat="1" applyFill="1" applyBorder="1">
      <alignment vertical="center"/>
    </xf>
    <xf numFmtId="166" fontId="0" fillId="0" borderId="5" xfId="0" applyNumberFormat="1" applyBorder="1">
      <alignment vertical="center"/>
    </xf>
    <xf numFmtId="0" fontId="0" fillId="0" borderId="5" xfId="0" applyBorder="1">
      <alignment vertical="center"/>
    </xf>
    <xf numFmtId="166" fontId="0" fillId="2" borderId="5" xfId="0" applyNumberFormat="1" applyFill="1" applyBorder="1">
      <alignment vertical="center"/>
    </xf>
    <xf numFmtId="165" fontId="0" fillId="0" borderId="7" xfId="0" applyNumberFormat="1" applyBorder="1">
      <alignment vertical="center"/>
    </xf>
    <xf numFmtId="164" fontId="0" fillId="2" borderId="7" xfId="0" applyNumberFormat="1" applyFill="1" applyBorder="1">
      <alignment vertical="center"/>
    </xf>
    <xf numFmtId="166" fontId="0" fillId="0" borderId="7" xfId="0" applyNumberFormat="1" applyBorder="1">
      <alignment vertical="center"/>
    </xf>
    <xf numFmtId="0" fontId="0" fillId="0" borderId="7" xfId="0" applyBorder="1">
      <alignment vertical="center"/>
    </xf>
    <xf numFmtId="166" fontId="0" fillId="2" borderId="7" xfId="0" applyNumberFormat="1" applyFill="1"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164" fontId="0" fillId="2" borderId="27" xfId="0" applyNumberFormat="1" applyFill="1" applyBorder="1">
      <alignment vertical="center"/>
    </xf>
    <xf numFmtId="166" fontId="0" fillId="2" borderId="27" xfId="0" applyNumberFormat="1" applyFill="1" applyBorder="1">
      <alignment vertical="center"/>
    </xf>
    <xf numFmtId="0" fontId="0" fillId="0" borderId="0" xfId="0" applyAlignment="1">
      <alignment vertical="center" wrapText="1"/>
    </xf>
    <xf numFmtId="0" fontId="0" fillId="0" borderId="7" xfId="0" applyBorder="1" applyAlignment="1">
      <alignment horizontal="center" vertical="center" wrapText="1"/>
    </xf>
    <xf numFmtId="0" fontId="0" fillId="0" borderId="28" xfId="0" applyBorder="1" applyAlignment="1">
      <alignment vertical="center" wrapText="1"/>
    </xf>
    <xf numFmtId="0" fontId="0" fillId="0" borderId="6" xfId="0" applyBorder="1" applyAlignment="1">
      <alignment horizontal="center" vertical="center"/>
    </xf>
    <xf numFmtId="165" fontId="0" fillId="0" borderId="1" xfId="0" applyNumberFormat="1" applyBorder="1" applyAlignment="1">
      <alignment horizontal="right" vertical="center"/>
    </xf>
    <xf numFmtId="0" fontId="0" fillId="0" borderId="1" xfId="0" applyBorder="1" applyAlignment="1">
      <alignment horizontal="center" wrapText="1"/>
    </xf>
    <xf numFmtId="0" fontId="0" fillId="0" borderId="4" xfId="0" applyBorder="1" applyAlignment="1">
      <alignment horizontal="center" vertical="center"/>
    </xf>
    <xf numFmtId="0" fontId="0" fillId="0" borderId="30" xfId="0" applyBorder="1">
      <alignment vertical="center"/>
    </xf>
    <xf numFmtId="0" fontId="0" fillId="0" borderId="0" xfId="0" applyAlignment="1">
      <alignment horizontal="right" vertical="center"/>
    </xf>
    <xf numFmtId="0" fontId="0" fillId="4" borderId="1" xfId="0" applyFill="1" applyBorder="1">
      <alignment vertical="center"/>
    </xf>
    <xf numFmtId="0" fontId="18" fillId="0" borderId="0" xfId="0" applyFont="1">
      <alignment vertical="center"/>
    </xf>
    <xf numFmtId="0" fontId="0" fillId="0" borderId="31"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4" borderId="36" xfId="0" applyFill="1" applyBorder="1">
      <alignment vertical="center"/>
    </xf>
    <xf numFmtId="0" fontId="0" fillId="0" borderId="36" xfId="0" applyBorder="1">
      <alignment vertical="center"/>
    </xf>
    <xf numFmtId="0" fontId="0" fillId="0" borderId="37" xfId="0" applyBorder="1" applyAlignment="1">
      <alignment horizontal="center" vertical="center"/>
    </xf>
    <xf numFmtId="0" fontId="0" fillId="4" borderId="7" xfId="0" applyFill="1" applyBorder="1">
      <alignment vertical="center"/>
    </xf>
    <xf numFmtId="0" fontId="0" fillId="0" borderId="38" xfId="0" applyBorder="1">
      <alignment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20" fillId="0" borderId="0" xfId="0" applyFont="1">
      <alignment vertical="center"/>
    </xf>
    <xf numFmtId="167" fontId="0" fillId="2" borderId="7" xfId="0" applyNumberFormat="1" applyFill="1" applyBorder="1" applyAlignment="1">
      <alignment horizontal="left" vertical="center"/>
    </xf>
    <xf numFmtId="0" fontId="0" fillId="8" borderId="1" xfId="0" applyFill="1" applyBorder="1" applyAlignment="1">
      <alignment horizontal="center" vertical="center" wrapText="1"/>
    </xf>
    <xf numFmtId="0" fontId="0" fillId="0" borderId="42" xfId="0" applyBorder="1">
      <alignment vertical="center"/>
    </xf>
    <xf numFmtId="0" fontId="0" fillId="4" borderId="7" xfId="0" applyFill="1" applyBorder="1" applyAlignment="1">
      <alignment horizontal="left" vertical="center" wrapText="1"/>
    </xf>
    <xf numFmtId="0" fontId="4" fillId="0" borderId="1" xfId="0" applyFont="1" applyBorder="1" applyAlignment="1">
      <alignment horizontal="center" vertical="center" wrapText="1"/>
    </xf>
    <xf numFmtId="0" fontId="21" fillId="0" borderId="1" xfId="0" applyFont="1" applyBorder="1" applyAlignment="1">
      <alignment horizontal="center" vertical="center"/>
    </xf>
    <xf numFmtId="0" fontId="4" fillId="0" borderId="4" xfId="0" applyFont="1" applyBorder="1" applyAlignment="1">
      <alignment horizontal="center"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11" borderId="1" xfId="0" applyFill="1" applyBorder="1" applyAlignment="1">
      <alignment horizontal="center" vertical="center" wrapText="1"/>
    </xf>
    <xf numFmtId="0" fontId="0" fillId="11" borderId="1" xfId="0" applyFill="1" applyBorder="1">
      <alignment vertical="center"/>
    </xf>
    <xf numFmtId="0" fontId="5" fillId="0" borderId="1" xfId="0" quotePrefix="1" applyFont="1" applyBorder="1" applyAlignment="1">
      <alignment vertical="center" wrapText="1"/>
    </xf>
    <xf numFmtId="1" fontId="0" fillId="0" borderId="7" xfId="0" applyNumberFormat="1" applyBorder="1">
      <alignment vertical="center"/>
    </xf>
    <xf numFmtId="1" fontId="0" fillId="0" borderId="38" xfId="0" applyNumberFormat="1" applyBorder="1">
      <alignment vertical="center"/>
    </xf>
    <xf numFmtId="1" fontId="0" fillId="0" borderId="1" xfId="0" applyNumberFormat="1" applyBorder="1">
      <alignment vertical="center"/>
    </xf>
    <xf numFmtId="1" fontId="0" fillId="0" borderId="30" xfId="0" applyNumberFormat="1" applyBorder="1">
      <alignment vertical="center"/>
    </xf>
    <xf numFmtId="1" fontId="0" fillId="0" borderId="36" xfId="0" applyNumberFormat="1" applyBorder="1">
      <alignment vertical="center"/>
    </xf>
    <xf numFmtId="1" fontId="18" fillId="0" borderId="0" xfId="0" applyNumberFormat="1" applyFont="1">
      <alignment vertical="center"/>
    </xf>
    <xf numFmtId="166" fontId="4" fillId="3" borderId="2" xfId="0" applyNumberFormat="1" applyFont="1" applyFill="1" applyBorder="1" applyAlignment="1">
      <alignment horizontal="center" vertical="center"/>
    </xf>
    <xf numFmtId="0" fontId="5" fillId="0" borderId="4" xfId="0" applyFont="1" applyBorder="1" applyAlignment="1">
      <alignment vertical="center" wrapText="1"/>
    </xf>
    <xf numFmtId="0" fontId="0" fillId="0" borderId="4" xfId="0" applyBorder="1" applyAlignment="1">
      <alignment vertical="center" wrapText="1"/>
    </xf>
    <xf numFmtId="0" fontId="5" fillId="2" borderId="6" xfId="0" applyFont="1" applyFill="1" applyBorder="1" applyAlignment="1">
      <alignment vertical="center" wrapText="1"/>
    </xf>
    <xf numFmtId="0" fontId="19" fillId="0" borderId="1" xfId="0" applyFont="1" applyBorder="1" applyAlignment="1">
      <alignment vertical="center" wrapText="1"/>
    </xf>
    <xf numFmtId="0" fontId="0" fillId="12" borderId="1" xfId="0" applyFill="1" applyBorder="1" applyAlignment="1">
      <alignment horizontal="center" vertical="center"/>
    </xf>
    <xf numFmtId="165" fontId="0" fillId="12" borderId="1" xfId="0" applyNumberFormat="1" applyFill="1" applyBorder="1">
      <alignment vertical="center"/>
    </xf>
    <xf numFmtId="164" fontId="0" fillId="12" borderId="1" xfId="0" applyNumberFormat="1" applyFill="1" applyBorder="1">
      <alignment vertical="center"/>
    </xf>
    <xf numFmtId="166" fontId="0" fillId="12" borderId="1" xfId="0" applyNumberFormat="1" applyFill="1" applyBorder="1">
      <alignment vertical="center"/>
    </xf>
    <xf numFmtId="0" fontId="0" fillId="12" borderId="1" xfId="0" applyFill="1" applyBorder="1">
      <alignment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25" fillId="0" borderId="0" xfId="0" applyFont="1">
      <alignment vertical="center"/>
    </xf>
    <xf numFmtId="0" fontId="25" fillId="2" borderId="14" xfId="0" applyFont="1" applyFill="1" applyBorder="1">
      <alignment vertical="center"/>
    </xf>
    <xf numFmtId="0" fontId="25" fillId="2" borderId="4" xfId="0" applyFont="1" applyFill="1" applyBorder="1">
      <alignment vertical="center"/>
    </xf>
    <xf numFmtId="0" fontId="25" fillId="2" borderId="5" xfId="0" applyFont="1" applyFill="1" applyBorder="1">
      <alignment vertical="center"/>
    </xf>
    <xf numFmtId="0" fontId="25" fillId="2" borderId="7" xfId="0" applyFont="1" applyFill="1" applyBorder="1">
      <alignment vertical="center"/>
    </xf>
    <xf numFmtId="0" fontId="25" fillId="0" borderId="1" xfId="0" applyFont="1" applyBorder="1" applyAlignment="1">
      <alignment horizontal="center" vertical="center"/>
    </xf>
    <xf numFmtId="0" fontId="25" fillId="0" borderId="5" xfId="0" applyFont="1" applyBorder="1" applyAlignment="1">
      <alignment horizontal="center" vertical="center"/>
    </xf>
    <xf numFmtId="0" fontId="25" fillId="0" borderId="27" xfId="0" applyFont="1" applyBorder="1" applyAlignment="1">
      <alignment horizontal="center" vertical="center"/>
    </xf>
    <xf numFmtId="0" fontId="25" fillId="0" borderId="7" xfId="0" applyFont="1" applyBorder="1" applyAlignment="1">
      <alignment horizontal="center" vertical="center"/>
    </xf>
    <xf numFmtId="0" fontId="5" fillId="0" borderId="1" xfId="0" applyFont="1" applyBorder="1" applyAlignment="1">
      <alignment horizontal="left" vertical="center" wrapText="1"/>
    </xf>
    <xf numFmtId="0" fontId="4" fillId="0" borderId="3" xfId="0" applyFont="1" applyBorder="1" applyAlignment="1">
      <alignment horizontal="center" vertical="center" wrapText="1"/>
    </xf>
    <xf numFmtId="0" fontId="22" fillId="0" borderId="7" xfId="0" applyFont="1" applyBorder="1" applyAlignment="1">
      <alignment vertical="center" wrapText="1"/>
    </xf>
    <xf numFmtId="0" fontId="0" fillId="0" borderId="43" xfId="0" applyBorder="1">
      <alignment vertical="center"/>
    </xf>
    <xf numFmtId="1" fontId="0" fillId="0" borderId="44" xfId="0" applyNumberFormat="1" applyBorder="1">
      <alignment vertical="center"/>
    </xf>
    <xf numFmtId="0" fontId="18" fillId="0" borderId="1" xfId="0" applyFont="1" applyBorder="1" applyAlignment="1">
      <alignment horizontal="center" vertical="center"/>
    </xf>
    <xf numFmtId="16" fontId="0" fillId="8" borderId="1" xfId="0" applyNumberFormat="1" applyFill="1" applyBorder="1">
      <alignment vertical="center"/>
    </xf>
    <xf numFmtId="0" fontId="0" fillId="8" borderId="1" xfId="0" applyFill="1" applyBorder="1">
      <alignment vertical="center"/>
    </xf>
    <xf numFmtId="16" fontId="0" fillId="4" borderId="1" xfId="0" applyNumberFormat="1" applyFill="1" applyBorder="1">
      <alignment vertical="center"/>
    </xf>
    <xf numFmtId="16" fontId="0" fillId="13" borderId="1" xfId="0" applyNumberFormat="1" applyFill="1" applyBorder="1">
      <alignment vertical="center"/>
    </xf>
    <xf numFmtId="0" fontId="0" fillId="13" borderId="1" xfId="0" applyFill="1" applyBorder="1">
      <alignment vertical="center"/>
    </xf>
    <xf numFmtId="0" fontId="18" fillId="0" borderId="1" xfId="0" applyFont="1" applyBorder="1">
      <alignment vertical="center"/>
    </xf>
    <xf numFmtId="0" fontId="18" fillId="0" borderId="1" xfId="0" applyFont="1" applyBorder="1" applyAlignment="1">
      <alignment horizontal="center" vertical="center" wrapText="1"/>
    </xf>
    <xf numFmtId="0" fontId="18" fillId="13" borderId="1" xfId="0" applyFont="1" applyFill="1" applyBorder="1">
      <alignment vertical="center"/>
    </xf>
    <xf numFmtId="0" fontId="18" fillId="4" borderId="1" xfId="0" applyFont="1" applyFill="1" applyBorder="1">
      <alignment vertical="center"/>
    </xf>
    <xf numFmtId="0" fontId="18" fillId="8" borderId="1" xfId="0" applyFont="1" applyFill="1" applyBorder="1">
      <alignment vertical="center"/>
    </xf>
    <xf numFmtId="0" fontId="5" fillId="4" borderId="1" xfId="0" applyFont="1" applyFill="1" applyBorder="1">
      <alignment vertical="center"/>
    </xf>
    <xf numFmtId="0" fontId="5" fillId="8" borderId="1" xfId="0" applyFont="1" applyFill="1" applyBorder="1">
      <alignment vertical="center"/>
    </xf>
    <xf numFmtId="0" fontId="18" fillId="4" borderId="1" xfId="0" applyFont="1" applyFill="1" applyBorder="1" applyAlignment="1">
      <alignment horizontal="center" vertical="center"/>
    </xf>
    <xf numFmtId="0" fontId="18" fillId="13" borderId="1" xfId="0" applyFont="1" applyFill="1" applyBorder="1" applyAlignment="1">
      <alignment horizontal="center" vertical="center"/>
    </xf>
    <xf numFmtId="16" fontId="0" fillId="0" borderId="0" xfId="0" applyNumberFormat="1">
      <alignment vertical="center"/>
    </xf>
    <xf numFmtId="168" fontId="5" fillId="0" borderId="1" xfId="0" applyNumberFormat="1" applyFont="1" applyBorder="1" applyAlignment="1">
      <alignment horizontal="center" vertical="center"/>
    </xf>
    <xf numFmtId="0" fontId="5" fillId="2" borderId="1" xfId="0" applyFont="1" applyFill="1" applyBorder="1" applyAlignment="1">
      <alignment horizontal="center" vertical="center" wrapText="1"/>
    </xf>
    <xf numFmtId="0" fontId="18" fillId="0" borderId="1" xfId="0" applyFont="1" applyBorder="1" applyAlignment="1">
      <alignment vertical="center" wrapText="1"/>
    </xf>
    <xf numFmtId="2" fontId="0" fillId="0" borderId="1" xfId="0" applyNumberFormat="1" applyBorder="1">
      <alignment vertical="center"/>
    </xf>
    <xf numFmtId="0" fontId="0" fillId="0" borderId="0" xfId="0" applyAlignment="1">
      <alignment horizontal="center" vertical="center" wrapText="1"/>
    </xf>
    <xf numFmtId="0" fontId="0" fillId="0" borderId="4" xfId="0" applyBorder="1">
      <alignment vertical="center"/>
    </xf>
    <xf numFmtId="0" fontId="5" fillId="0" borderId="5" xfId="0" applyFont="1" applyBorder="1">
      <alignment vertical="center"/>
    </xf>
    <xf numFmtId="0" fontId="0" fillId="0" borderId="27" xfId="0" applyBorder="1" applyAlignment="1">
      <alignment vertical="center" wrapText="1"/>
    </xf>
    <xf numFmtId="0" fontId="0" fillId="2" borderId="6" xfId="0" applyFill="1" applyBorder="1">
      <alignment vertical="center"/>
    </xf>
    <xf numFmtId="0" fontId="0" fillId="0" borderId="2" xfId="0" applyBorder="1" applyAlignment="1">
      <alignment horizontal="center" vertical="center" wrapText="1"/>
    </xf>
    <xf numFmtId="0" fontId="18" fillId="0" borderId="4" xfId="0" applyFont="1" applyBorder="1">
      <alignment vertical="center"/>
    </xf>
    <xf numFmtId="0" fontId="18" fillId="0" borderId="0" xfId="0" applyFont="1" applyAlignment="1">
      <alignment horizontal="center" vertical="center" wrapText="1"/>
    </xf>
    <xf numFmtId="0" fontId="4" fillId="0" borderId="2" xfId="0" applyFont="1" applyBorder="1" applyAlignment="1">
      <alignment horizontal="center" vertical="center"/>
    </xf>
    <xf numFmtId="0" fontId="0" fillId="0" borderId="23" xfId="0" applyBorder="1" applyAlignment="1">
      <alignment vertical="center" wrapText="1"/>
    </xf>
    <xf numFmtId="0" fontId="0" fillId="0" borderId="25" xfId="0" applyBorder="1" applyAlignment="1">
      <alignment vertical="center" wrapText="1"/>
    </xf>
    <xf numFmtId="0" fontId="4" fillId="0" borderId="4" xfId="0" applyFont="1" applyBorder="1" applyAlignment="1">
      <alignment horizontal="center" vertical="center"/>
    </xf>
    <xf numFmtId="170" fontId="0" fillId="0" borderId="1" xfId="0" applyNumberFormat="1" applyBorder="1">
      <alignment vertical="center"/>
    </xf>
    <xf numFmtId="0" fontId="0" fillId="0" borderId="2" xfId="0" applyBorder="1" applyAlignment="1">
      <alignment vertical="center" wrapText="1"/>
    </xf>
    <xf numFmtId="0" fontId="0" fillId="0" borderId="45" xfId="0" applyBorder="1" applyAlignment="1">
      <alignment vertical="center" wrapText="1"/>
    </xf>
    <xf numFmtId="164" fontId="0" fillId="0" borderId="1" xfId="0" applyNumberFormat="1" applyBorder="1" applyAlignment="1">
      <alignment vertical="center" wrapText="1"/>
    </xf>
    <xf numFmtId="166" fontId="0" fillId="0" borderId="1" xfId="0" applyNumberFormat="1" applyBorder="1" applyAlignment="1">
      <alignment vertical="center" wrapText="1"/>
    </xf>
    <xf numFmtId="44" fontId="0" fillId="0" borderId="2" xfId="0" applyNumberFormat="1" applyBorder="1" applyAlignment="1">
      <alignment vertical="center" wrapText="1"/>
    </xf>
    <xf numFmtId="0" fontId="5" fillId="2" borderId="5" xfId="0" applyFont="1" applyFill="1" applyBorder="1" applyAlignment="1">
      <alignment horizontal="center" vertical="center" wrapText="1"/>
    </xf>
    <xf numFmtId="164" fontId="0" fillId="0" borderId="1" xfId="0" applyNumberFormat="1" applyBorder="1" applyAlignment="1">
      <alignment horizontal="center" vertical="center" wrapText="1"/>
    </xf>
    <xf numFmtId="166" fontId="0" fillId="0" borderId="1" xfId="0" applyNumberFormat="1" applyBorder="1" applyAlignment="1">
      <alignment horizontal="center" vertical="center" wrapText="1"/>
    </xf>
    <xf numFmtId="164" fontId="0" fillId="0" borderId="1" xfId="0" applyNumberFormat="1" applyBorder="1">
      <alignment vertical="center"/>
    </xf>
    <xf numFmtId="164" fontId="0" fillId="0" borderId="4" xfId="0" applyNumberFormat="1" applyBorder="1" applyAlignment="1">
      <alignment vertical="center" wrapText="1"/>
    </xf>
    <xf numFmtId="166" fontId="0" fillId="0" borderId="4" xfId="0" applyNumberFormat="1" applyBorder="1" applyAlignment="1">
      <alignment vertical="center" wrapText="1"/>
    </xf>
    <xf numFmtId="0" fontId="0" fillId="4" borderId="8" xfId="0" applyFill="1" applyBorder="1" applyAlignment="1">
      <alignment vertical="center" wrapText="1"/>
    </xf>
    <xf numFmtId="0" fontId="0" fillId="4" borderId="23" xfId="0" applyFill="1" applyBorder="1">
      <alignment vertical="center"/>
    </xf>
    <xf numFmtId="0" fontId="5" fillId="4" borderId="10" xfId="0" applyFont="1" applyFill="1" applyBorder="1" applyAlignment="1">
      <alignment horizontal="left" vertical="center" wrapText="1"/>
    </xf>
    <xf numFmtId="0" fontId="0" fillId="4" borderId="25" xfId="0" applyFill="1" applyBorder="1" applyAlignment="1">
      <alignment vertical="center" wrapText="1"/>
    </xf>
    <xf numFmtId="0" fontId="31" fillId="0" borderId="1" xfId="0" quotePrefix="1" applyFont="1" applyBorder="1" applyAlignment="1">
      <alignment vertical="top" wrapText="1"/>
    </xf>
    <xf numFmtId="0" fontId="5" fillId="0" borderId="1" xfId="6" quotePrefix="1" applyBorder="1" applyAlignment="1">
      <alignment vertical="top" wrapText="1"/>
    </xf>
    <xf numFmtId="0" fontId="23" fillId="0" borderId="1" xfId="6" applyFont="1" applyBorder="1" applyAlignment="1">
      <alignment vertical="top" wrapText="1"/>
    </xf>
    <xf numFmtId="0" fontId="31" fillId="0" borderId="1" xfId="0" applyFont="1" applyBorder="1" applyAlignment="1">
      <alignment vertical="top" wrapText="1"/>
    </xf>
    <xf numFmtId="0" fontId="4" fillId="11"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0" fillId="0" borderId="10" xfId="0" applyBorder="1" applyAlignment="1">
      <alignment vertical="center" wrapText="1"/>
    </xf>
    <xf numFmtId="0" fontId="0" fillId="0" borderId="6" xfId="0" applyBorder="1" applyAlignment="1">
      <alignment vertical="center" wrapText="1"/>
    </xf>
    <xf numFmtId="0" fontId="4" fillId="0" borderId="9" xfId="0" applyFont="1" applyBorder="1" applyAlignment="1">
      <alignment horizontal="center" vertical="center"/>
    </xf>
    <xf numFmtId="0" fontId="4" fillId="0" borderId="6" xfId="0" applyFont="1" applyBorder="1" applyAlignment="1">
      <alignment horizontal="center" vertical="center"/>
    </xf>
    <xf numFmtId="0" fontId="5" fillId="0" borderId="7" xfId="0" applyFont="1" applyBorder="1">
      <alignment vertical="center"/>
    </xf>
    <xf numFmtId="0" fontId="0" fillId="4" borderId="10" xfId="0" applyFill="1" applyBorder="1" applyAlignment="1">
      <alignment horizontal="left" vertical="center" wrapText="1"/>
    </xf>
    <xf numFmtId="0" fontId="0" fillId="4" borderId="25" xfId="0" applyFill="1" applyBorder="1" applyAlignment="1">
      <alignment horizontal="left" vertical="center" wrapText="1"/>
    </xf>
    <xf numFmtId="0" fontId="0" fillId="0" borderId="6" xfId="0" applyBorder="1">
      <alignment vertical="center"/>
    </xf>
    <xf numFmtId="0" fontId="22" fillId="0" borderId="1" xfId="0" applyFont="1" applyBorder="1" applyAlignment="1">
      <alignment vertical="center" wrapText="1"/>
    </xf>
    <xf numFmtId="0" fontId="29" fillId="0" borderId="1" xfId="0" applyFont="1" applyBorder="1">
      <alignment vertical="center"/>
    </xf>
    <xf numFmtId="0" fontId="34" fillId="0" borderId="1" xfId="0" applyFont="1" applyBorder="1" applyAlignment="1">
      <alignment vertical="center" wrapText="1"/>
    </xf>
    <xf numFmtId="0" fontId="0" fillId="0" borderId="1" xfId="6" quotePrefix="1" applyFont="1" applyBorder="1" applyAlignment="1">
      <alignment vertical="top" wrapText="1"/>
    </xf>
    <xf numFmtId="0" fontId="0" fillId="12" borderId="1" xfId="0" applyFill="1" applyBorder="1" applyAlignment="1">
      <alignment horizontal="center" vertical="center" wrapText="1"/>
    </xf>
    <xf numFmtId="0" fontId="19" fillId="0" borderId="5" xfId="0" applyFont="1" applyBorder="1" applyAlignment="1">
      <alignment vertical="center" wrapText="1"/>
    </xf>
    <xf numFmtId="0" fontId="24" fillId="0" borderId="5" xfId="0" applyFont="1" applyBorder="1" applyAlignment="1">
      <alignment vertical="center" wrapText="1"/>
    </xf>
    <xf numFmtId="0" fontId="36" fillId="0" borderId="1" xfId="6" applyFont="1" applyBorder="1" applyAlignment="1">
      <alignment vertical="top" wrapText="1"/>
    </xf>
    <xf numFmtId="0" fontId="37" fillId="0" borderId="1" xfId="0" applyFont="1" applyBorder="1" applyAlignment="1">
      <alignment vertical="top" wrapText="1"/>
    </xf>
    <xf numFmtId="0" fontId="0" fillId="0" borderId="1" xfId="0" quotePrefix="1" applyBorder="1" applyAlignment="1">
      <alignment vertical="center" wrapText="1"/>
    </xf>
    <xf numFmtId="0" fontId="0" fillId="0" borderId="4" xfId="0" quotePrefix="1" applyBorder="1" applyAlignment="1">
      <alignment vertical="center" wrapText="1"/>
    </xf>
    <xf numFmtId="0" fontId="22" fillId="0" borderId="7" xfId="0" applyFont="1" applyBorder="1" applyAlignment="1">
      <alignment vertical="top" wrapText="1"/>
    </xf>
    <xf numFmtId="0" fontId="38" fillId="0" borderId="1" xfId="0" applyFont="1" applyBorder="1" applyAlignment="1">
      <alignment horizontal="left" vertical="top" wrapText="1"/>
    </xf>
    <xf numFmtId="0" fontId="23" fillId="0" borderId="1" xfId="0" applyFont="1" applyBorder="1" applyAlignment="1">
      <alignment vertical="top" wrapText="1"/>
    </xf>
    <xf numFmtId="0" fontId="0" fillId="0" borderId="24" xfId="0" applyBorder="1" applyAlignment="1">
      <alignment vertical="center" wrapText="1"/>
    </xf>
    <xf numFmtId="0" fontId="23" fillId="0" borderId="1" xfId="0" applyFont="1" applyBorder="1" applyAlignment="1">
      <alignment horizontal="left" vertical="top" wrapText="1"/>
    </xf>
    <xf numFmtId="0" fontId="33" fillId="0" borderId="2" xfId="0" applyFont="1" applyBorder="1" applyAlignment="1">
      <alignment vertical="top" wrapText="1"/>
    </xf>
    <xf numFmtId="0" fontId="0" fillId="4" borderId="0" xfId="0" applyFill="1">
      <alignment vertical="center"/>
    </xf>
    <xf numFmtId="0" fontId="0" fillId="8" borderId="4" xfId="0" applyFill="1" applyBorder="1" applyAlignment="1">
      <alignment horizontal="center" vertical="center" wrapText="1"/>
    </xf>
    <xf numFmtId="0" fontId="0" fillId="0" borderId="5" xfId="0" applyBorder="1" applyAlignment="1">
      <alignment horizontal="center" vertical="center"/>
    </xf>
    <xf numFmtId="0" fontId="0" fillId="0" borderId="46" xfId="0" applyBorder="1">
      <alignment vertical="center"/>
    </xf>
    <xf numFmtId="0" fontId="0" fillId="0" borderId="47" xfId="0" applyBorder="1">
      <alignment vertical="center"/>
    </xf>
    <xf numFmtId="0" fontId="0" fillId="0" borderId="48" xfId="0" applyBorder="1">
      <alignment vertical="center"/>
    </xf>
    <xf numFmtId="0" fontId="0" fillId="0" borderId="49" xfId="0" applyBorder="1">
      <alignment vertical="center"/>
    </xf>
    <xf numFmtId="0" fontId="0" fillId="0" borderId="23" xfId="0" applyBorder="1" applyAlignment="1">
      <alignment horizontal="center" vertical="center"/>
    </xf>
    <xf numFmtId="0" fontId="0" fillId="0" borderId="51" xfId="0" applyBorder="1" applyAlignment="1">
      <alignment horizontal="center" vertical="center"/>
    </xf>
    <xf numFmtId="1" fontId="0" fillId="0" borderId="42" xfId="0" applyNumberFormat="1" applyBorder="1">
      <alignment vertical="center"/>
    </xf>
    <xf numFmtId="1" fontId="0" fillId="0" borderId="43" xfId="0" applyNumberForma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0" fontId="0" fillId="0" borderId="3" xfId="0" applyBorder="1">
      <alignment vertical="center"/>
    </xf>
    <xf numFmtId="0" fontId="0" fillId="0" borderId="50" xfId="0" applyBorder="1" applyAlignment="1">
      <alignment horizontal="center" vertical="center"/>
    </xf>
    <xf numFmtId="14" fontId="0" fillId="0" borderId="52" xfId="0" applyNumberFormat="1" applyBorder="1" applyAlignment="1">
      <alignment horizontal="center" vertical="center"/>
    </xf>
    <xf numFmtId="14" fontId="0" fillId="0" borderId="56" xfId="0" applyNumberFormat="1" applyBorder="1" applyAlignment="1">
      <alignment horizontal="center" vertical="center"/>
    </xf>
    <xf numFmtId="0" fontId="0" fillId="0" borderId="57" xfId="0" applyBorder="1">
      <alignment vertical="center"/>
    </xf>
    <xf numFmtId="0" fontId="18" fillId="0" borderId="2" xfId="0" applyFont="1" applyBorder="1" applyAlignment="1">
      <alignment horizontal="center" vertical="center"/>
    </xf>
    <xf numFmtId="17" fontId="18" fillId="0" borderId="1" xfId="0" applyNumberFormat="1" applyFont="1" applyBorder="1">
      <alignment vertical="center"/>
    </xf>
    <xf numFmtId="16" fontId="18" fillId="0" borderId="1" xfId="0" applyNumberFormat="1" applyFont="1" applyBorder="1">
      <alignment vertical="center"/>
    </xf>
    <xf numFmtId="0" fontId="18" fillId="0" borderId="6" xfId="0" applyFont="1" applyBorder="1">
      <alignment vertical="center"/>
    </xf>
    <xf numFmtId="0" fontId="5" fillId="0" borderId="0" xfId="0" applyFont="1" applyAlignment="1">
      <alignment horizontal="center" vertical="center"/>
    </xf>
    <xf numFmtId="9" fontId="5" fillId="0" borderId="1" xfId="5" applyFont="1" applyFill="1" applyBorder="1" applyAlignment="1">
      <alignment vertical="center"/>
    </xf>
    <xf numFmtId="17" fontId="5" fillId="0" borderId="1" xfId="0" applyNumberFormat="1" applyFont="1" applyBorder="1">
      <alignment vertical="center"/>
    </xf>
    <xf numFmtId="0" fontId="5" fillId="0" borderId="2" xfId="0" applyFont="1" applyBorder="1" applyAlignment="1">
      <alignment horizontal="center" vertical="center"/>
    </xf>
    <xf numFmtId="17" fontId="5" fillId="0" borderId="1" xfId="0" applyNumberFormat="1" applyFont="1" applyBorder="1" applyAlignment="1">
      <alignment vertical="center" wrapText="1"/>
    </xf>
    <xf numFmtId="0" fontId="0" fillId="0" borderId="1" xfId="0" applyBorder="1" applyAlignment="1">
      <alignment horizontal="left" vertical="center"/>
    </xf>
    <xf numFmtId="0" fontId="18" fillId="0" borderId="1" xfId="0" applyFont="1" applyBorder="1" applyAlignment="1">
      <alignment horizontal="left" vertical="center"/>
    </xf>
    <xf numFmtId="14" fontId="0" fillId="0" borderId="0" xfId="0" applyNumberFormat="1" applyAlignment="1">
      <alignment horizontal="center" vertical="center"/>
    </xf>
    <xf numFmtId="171" fontId="0" fillId="0" borderId="1" xfId="0" applyNumberFormat="1" applyBorder="1">
      <alignment vertical="center"/>
    </xf>
    <xf numFmtId="0" fontId="29" fillId="0" borderId="1" xfId="0" applyFont="1" applyBorder="1" applyAlignment="1">
      <alignment vertical="center" wrapText="1"/>
    </xf>
    <xf numFmtId="0" fontId="0" fillId="14" borderId="0" xfId="0" applyFill="1">
      <alignment vertical="center"/>
    </xf>
    <xf numFmtId="0" fontId="0" fillId="14" borderId="0" xfId="0" applyFill="1" applyAlignment="1">
      <alignment horizontal="center" vertical="center"/>
    </xf>
    <xf numFmtId="0" fontId="22" fillId="0" borderId="1" xfId="0" applyFont="1" applyBorder="1" applyAlignment="1">
      <alignment vertical="top" wrapText="1"/>
    </xf>
    <xf numFmtId="0" fontId="22" fillId="0" borderId="0" xfId="0" applyFont="1" applyAlignment="1">
      <alignment vertical="top" wrapText="1"/>
    </xf>
    <xf numFmtId="0" fontId="22" fillId="0" borderId="27" xfId="0" applyFont="1" applyBorder="1" applyAlignment="1">
      <alignment vertical="center" wrapText="1"/>
    </xf>
    <xf numFmtId="168" fontId="29" fillId="0" borderId="1" xfId="0" applyNumberFormat="1" applyFont="1" applyBorder="1" applyAlignment="1">
      <alignment horizontal="center" vertical="center"/>
    </xf>
    <xf numFmtId="168" fontId="0" fillId="0" borderId="1" xfId="0" applyNumberFormat="1" applyBorder="1" applyAlignment="1">
      <alignment horizontal="center" vertical="center"/>
    </xf>
    <xf numFmtId="16" fontId="5" fillId="0" borderId="1" xfId="0" applyNumberFormat="1" applyFont="1" applyBorder="1">
      <alignment vertical="center"/>
    </xf>
    <xf numFmtId="0" fontId="18" fillId="0" borderId="9" xfId="0" applyFont="1" applyBorder="1">
      <alignment vertical="center"/>
    </xf>
    <xf numFmtId="168" fontId="18" fillId="0" borderId="4" xfId="0" applyNumberFormat="1" applyFont="1" applyBorder="1" applyAlignment="1">
      <alignment horizontal="center" vertical="center"/>
    </xf>
    <xf numFmtId="168" fontId="18" fillId="0" borderId="1" xfId="0" applyNumberFormat="1" applyFont="1" applyBorder="1" applyAlignment="1">
      <alignment horizontal="center" vertical="center"/>
    </xf>
    <xf numFmtId="9" fontId="18" fillId="0" borderId="1" xfId="0" applyNumberFormat="1" applyFont="1" applyBorder="1" applyAlignment="1">
      <alignment horizontal="center" vertical="center"/>
    </xf>
    <xf numFmtId="0" fontId="39" fillId="0" borderId="1" xfId="0" applyFont="1" applyBorder="1">
      <alignment vertical="center"/>
    </xf>
    <xf numFmtId="0" fontId="18" fillId="15" borderId="1" xfId="0" applyFont="1" applyFill="1" applyBorder="1">
      <alignment vertical="center"/>
    </xf>
    <xf numFmtId="0" fontId="18" fillId="0" borderId="2" xfId="0" applyFont="1" applyBorder="1">
      <alignment vertical="center"/>
    </xf>
    <xf numFmtId="0" fontId="0" fillId="0" borderId="8" xfId="0" applyBorder="1">
      <alignment vertical="center"/>
    </xf>
    <xf numFmtId="9" fontId="0" fillId="0" borderId="0" xfId="0" applyNumberFormat="1">
      <alignment vertical="center"/>
    </xf>
    <xf numFmtId="164" fontId="0" fillId="0" borderId="0" xfId="0" applyNumberFormat="1">
      <alignment vertical="center"/>
    </xf>
    <xf numFmtId="164" fontId="0" fillId="0" borderId="0" xfId="0" applyNumberFormat="1" applyAlignment="1">
      <alignment horizontal="center" vertical="center"/>
    </xf>
    <xf numFmtId="166" fontId="0" fillId="0" borderId="1" xfId="0" applyNumberFormat="1" applyBorder="1" applyAlignment="1">
      <alignment horizontal="center" vertical="center"/>
    </xf>
    <xf numFmtId="10" fontId="0" fillId="0" borderId="0" xfId="0" applyNumberFormat="1" applyAlignment="1">
      <alignment horizontal="center" vertical="center"/>
    </xf>
    <xf numFmtId="169" fontId="0" fillId="0" borderId="0" xfId="0" applyNumberFormat="1" applyAlignment="1">
      <alignment horizontal="center" vertical="center"/>
    </xf>
    <xf numFmtId="164" fontId="0" fillId="0" borderId="7" xfId="0" applyNumberFormat="1" applyBorder="1">
      <alignment vertical="center"/>
    </xf>
    <xf numFmtId="0" fontId="33" fillId="0" borderId="10" xfId="0" applyFont="1" applyBorder="1" applyAlignment="1">
      <alignment vertical="top" wrapText="1"/>
    </xf>
    <xf numFmtId="0" fontId="4" fillId="0" borderId="25" xfId="0" applyFont="1" applyBorder="1" applyAlignment="1">
      <alignment horizontal="center" vertical="center" wrapText="1"/>
    </xf>
    <xf numFmtId="0" fontId="4" fillId="0" borderId="10" xfId="0" applyFont="1" applyBorder="1" applyAlignment="1">
      <alignment horizontal="center" vertical="center"/>
    </xf>
    <xf numFmtId="0" fontId="0" fillId="0" borderId="8" xfId="0" applyBorder="1" applyAlignment="1">
      <alignment vertical="center" wrapText="1"/>
    </xf>
    <xf numFmtId="0" fontId="23" fillId="0" borderId="7" xfId="0" applyFont="1" applyBorder="1" applyAlignment="1">
      <alignment vertical="center" wrapText="1"/>
    </xf>
    <xf numFmtId="0" fontId="0" fillId="0" borderId="10" xfId="0" applyBorder="1" applyAlignment="1">
      <alignment horizontal="center" vertical="center" wrapText="1"/>
    </xf>
    <xf numFmtId="0" fontId="4" fillId="0" borderId="25" xfId="0" applyFont="1" applyBorder="1" applyAlignment="1">
      <alignment horizontal="center" vertical="center"/>
    </xf>
    <xf numFmtId="9" fontId="0" fillId="0" borderId="1" xfId="0" applyNumberFormat="1" applyBorder="1">
      <alignment vertical="center"/>
    </xf>
    <xf numFmtId="9" fontId="0" fillId="0" borderId="7" xfId="0" applyNumberFormat="1" applyBorder="1" applyAlignment="1">
      <alignment vertical="center" wrapText="1"/>
    </xf>
    <xf numFmtId="9" fontId="0" fillId="0" borderId="1" xfId="0" applyNumberFormat="1" applyBorder="1" applyAlignment="1">
      <alignment vertical="center" wrapText="1"/>
    </xf>
    <xf numFmtId="0" fontId="0" fillId="0" borderId="27" xfId="0" applyBorder="1" applyAlignment="1">
      <alignment horizontal="center" vertical="center"/>
    </xf>
    <xf numFmtId="0" fontId="0" fillId="8" borderId="27" xfId="0" applyFill="1" applyBorder="1" applyAlignment="1">
      <alignment horizontal="center" vertical="center" wrapText="1"/>
    </xf>
    <xf numFmtId="0" fontId="33" fillId="0" borderId="1" xfId="0" applyFont="1" applyBorder="1" applyAlignment="1">
      <alignment vertical="center" wrapText="1"/>
    </xf>
    <xf numFmtId="0" fontId="5" fillId="0" borderId="2" xfId="0" applyFont="1" applyBorder="1" applyAlignment="1">
      <alignment vertical="center" wrapText="1"/>
    </xf>
    <xf numFmtId="0" fontId="30" fillId="0" borderId="1" xfId="0" applyFont="1" applyBorder="1" applyAlignment="1">
      <alignment horizontal="center" vertical="center"/>
    </xf>
    <xf numFmtId="0" fontId="33" fillId="0" borderId="2" xfId="0" applyFont="1" applyBorder="1" applyAlignment="1">
      <alignment vertical="center" wrapText="1"/>
    </xf>
    <xf numFmtId="0" fontId="34" fillId="0" borderId="0" xfId="0" applyFont="1" applyAlignment="1">
      <alignment vertical="center" wrapText="1"/>
    </xf>
    <xf numFmtId="0" fontId="31" fillId="0" borderId="1" xfId="0" quotePrefix="1" applyFont="1" applyBorder="1" applyAlignment="1">
      <alignment vertical="center" wrapText="1"/>
    </xf>
    <xf numFmtId="0" fontId="41" fillId="0" borderId="1" xfId="0" quotePrefix="1" applyFont="1" applyBorder="1" applyAlignment="1">
      <alignment vertical="center" wrapText="1"/>
    </xf>
    <xf numFmtId="0" fontId="0" fillId="0" borderId="5" xfId="0" applyBorder="1" applyAlignment="1">
      <alignment vertical="top" wrapText="1"/>
    </xf>
    <xf numFmtId="0" fontId="34" fillId="0" borderId="4" xfId="0" applyFont="1" applyBorder="1" applyAlignment="1">
      <alignment vertical="center" wrapText="1"/>
    </xf>
    <xf numFmtId="0" fontId="19" fillId="0" borderId="7" xfId="0" applyFont="1" applyBorder="1" applyAlignment="1">
      <alignment vertical="center" wrapText="1"/>
    </xf>
    <xf numFmtId="0" fontId="0" fillId="0" borderId="3" xfId="0" applyBorder="1" applyAlignment="1">
      <alignment horizontal="center" vertical="center" wrapText="1"/>
    </xf>
    <xf numFmtId="0" fontId="0" fillId="0" borderId="58" xfId="0" applyBorder="1" applyAlignment="1">
      <alignment vertical="center" wrapText="1"/>
    </xf>
    <xf numFmtId="164" fontId="0" fillId="0" borderId="5" xfId="0" applyNumberFormat="1" applyBorder="1" applyAlignment="1">
      <alignment vertical="center" wrapText="1"/>
    </xf>
    <xf numFmtId="166" fontId="0" fillId="0" borderId="5" xfId="0" applyNumberFormat="1" applyBorder="1" applyAlignment="1">
      <alignment vertical="center" wrapText="1"/>
    </xf>
    <xf numFmtId="0" fontId="0" fillId="0" borderId="5" xfId="0" quotePrefix="1" applyBorder="1" applyAlignment="1">
      <alignment vertical="center" wrapText="1"/>
    </xf>
    <xf numFmtId="0" fontId="0" fillId="0" borderId="7" xfId="0" applyBorder="1" applyAlignment="1">
      <alignment horizontal="center" vertical="center"/>
    </xf>
    <xf numFmtId="0" fontId="0" fillId="0" borderId="59" xfId="0" applyBorder="1" applyAlignment="1">
      <alignment vertical="center" wrapText="1"/>
    </xf>
    <xf numFmtId="164" fontId="0" fillId="0" borderId="7" xfId="0" applyNumberFormat="1" applyBorder="1" applyAlignment="1">
      <alignment vertical="center" wrapText="1"/>
    </xf>
    <xf numFmtId="166" fontId="0" fillId="0" borderId="7" xfId="0" applyNumberFormat="1" applyBorder="1" applyAlignment="1">
      <alignment vertical="center" wrapText="1"/>
    </xf>
    <xf numFmtId="0" fontId="0" fillId="0" borderId="60" xfId="0" applyBorder="1" applyAlignment="1">
      <alignment vertical="center" wrapText="1"/>
    </xf>
    <xf numFmtId="0" fontId="0" fillId="0" borderId="6" xfId="0" applyBorder="1" applyAlignment="1">
      <alignment horizontal="center" vertical="center" wrapText="1"/>
    </xf>
    <xf numFmtId="164" fontId="0" fillId="0" borderId="6" xfId="0" applyNumberFormat="1" applyBorder="1" applyAlignment="1">
      <alignment vertical="center" wrapText="1"/>
    </xf>
    <xf numFmtId="166" fontId="0" fillId="0" borderId="6" xfId="0" applyNumberFormat="1" applyBorder="1" applyAlignment="1">
      <alignment vertical="center" wrapText="1"/>
    </xf>
    <xf numFmtId="0" fontId="22" fillId="0" borderId="6" xfId="6" applyFont="1" applyBorder="1" applyAlignment="1">
      <alignment vertical="top" wrapText="1"/>
    </xf>
    <xf numFmtId="0" fontId="31" fillId="0" borderId="6" xfId="0" quotePrefix="1" applyFont="1" applyBorder="1" applyAlignment="1">
      <alignment vertical="top" wrapText="1"/>
    </xf>
    <xf numFmtId="0" fontId="0" fillId="0" borderId="2" xfId="0" applyBorder="1" applyAlignment="1">
      <alignment horizontal="center" vertical="center"/>
    </xf>
    <xf numFmtId="0" fontId="0" fillId="0" borderId="7" xfId="0" applyBorder="1" applyAlignment="1">
      <alignment vertical="top" wrapText="1"/>
    </xf>
    <xf numFmtId="166" fontId="0" fillId="0" borderId="0" xfId="0" applyNumberFormat="1" applyAlignment="1">
      <alignment vertical="center" wrapText="1"/>
    </xf>
    <xf numFmtId="0" fontId="0" fillId="0" borderId="0" xfId="0" quotePrefix="1" applyAlignment="1">
      <alignment vertical="center" wrapText="1"/>
    </xf>
    <xf numFmtId="0" fontId="0" fillId="0" borderId="1" xfId="0" applyBorder="1" applyAlignment="1">
      <alignment horizontal="left" vertical="center" wrapText="1"/>
    </xf>
    <xf numFmtId="0" fontId="0" fillId="2" borderId="6"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6" xfId="0" applyFill="1" applyBorder="1" applyAlignment="1">
      <alignment vertical="center" wrapText="1"/>
    </xf>
    <xf numFmtId="165" fontId="0" fillId="2" borderId="11" xfId="0" applyNumberFormat="1" applyFill="1" applyBorder="1" applyAlignment="1">
      <alignment horizontal="left" vertical="center"/>
    </xf>
    <xf numFmtId="0" fontId="0" fillId="2" borderId="12" xfId="0" applyFill="1" applyBorder="1" applyAlignment="1">
      <alignment vertical="center" wrapText="1"/>
    </xf>
    <xf numFmtId="0" fontId="0" fillId="2" borderId="11" xfId="0" applyFill="1" applyBorder="1">
      <alignment vertical="center"/>
    </xf>
    <xf numFmtId="0" fontId="22" fillId="0" borderId="4" xfId="0" quotePrefix="1" applyFont="1" applyBorder="1" applyAlignment="1">
      <alignment vertical="center" wrapText="1"/>
    </xf>
    <xf numFmtId="0" fontId="22" fillId="0" borderId="1" xfId="0" quotePrefix="1" applyFont="1" applyBorder="1" applyAlignment="1">
      <alignment vertical="center" wrapText="1"/>
    </xf>
    <xf numFmtId="0" fontId="5" fillId="4" borderId="5" xfId="0" applyFont="1" applyFill="1" applyBorder="1">
      <alignment vertical="center"/>
    </xf>
    <xf numFmtId="0" fontId="22" fillId="0" borderId="10" xfId="0" applyFont="1" applyBorder="1" applyAlignment="1">
      <alignment vertical="top" wrapText="1"/>
    </xf>
    <xf numFmtId="0" fontId="5" fillId="0" borderId="5" xfId="0" applyFont="1" applyBorder="1" applyAlignment="1">
      <alignment vertical="center" wrapText="1"/>
    </xf>
    <xf numFmtId="0" fontId="5" fillId="0" borderId="7" xfId="0" applyFont="1" applyBorder="1" applyAlignment="1">
      <alignment vertical="center" wrapText="1"/>
    </xf>
    <xf numFmtId="0" fontId="0" fillId="2" borderId="5" xfId="0" applyFill="1" applyBorder="1" applyAlignment="1">
      <alignment horizontal="center" vertical="center" wrapText="1"/>
    </xf>
    <xf numFmtId="0" fontId="0" fillId="0" borderId="8" xfId="0" applyBorder="1" applyAlignment="1">
      <alignment horizontal="center" vertical="center" wrapText="1"/>
    </xf>
    <xf numFmtId="0" fontId="18" fillId="0" borderId="0" xfId="0" applyFont="1" applyAlignment="1">
      <alignment vertical="center" wrapText="1"/>
    </xf>
    <xf numFmtId="0" fontId="18" fillId="0" borderId="1" xfId="0" applyFont="1" applyBorder="1" applyAlignment="1">
      <alignment horizontal="right" vertical="center"/>
    </xf>
    <xf numFmtId="0" fontId="0" fillId="0" borderId="0" xfId="0" applyAlignment="1">
      <alignment horizontal="left" vertical="center"/>
    </xf>
    <xf numFmtId="9" fontId="0" fillId="0" borderId="1" xfId="0" applyNumberFormat="1" applyBorder="1" applyAlignment="1">
      <alignment horizontal="left" vertical="center"/>
    </xf>
    <xf numFmtId="0" fontId="0" fillId="0" borderId="9" xfId="0" applyBorder="1" applyAlignment="1">
      <alignment horizontal="left" vertical="center"/>
    </xf>
    <xf numFmtId="16" fontId="0" fillId="0" borderId="1" xfId="0" applyNumberFormat="1" applyBorder="1">
      <alignment vertical="center"/>
    </xf>
    <xf numFmtId="9" fontId="0" fillId="0" borderId="1" xfId="5" applyFont="1" applyFill="1" applyBorder="1" applyAlignment="1">
      <alignment vertical="center"/>
    </xf>
    <xf numFmtId="0" fontId="0" fillId="0" borderId="1" xfId="0" applyBorder="1" applyAlignment="1">
      <alignment vertical="top" wrapText="1"/>
    </xf>
    <xf numFmtId="17" fontId="0" fillId="0" borderId="1" xfId="0" applyNumberFormat="1" applyBorder="1" applyAlignment="1">
      <alignment vertical="center" wrapText="1"/>
    </xf>
    <xf numFmtId="17" fontId="0" fillId="0" borderId="1" xfId="0" applyNumberFormat="1" applyBorder="1">
      <alignment vertical="center"/>
    </xf>
    <xf numFmtId="0" fontId="0" fillId="0" borderId="1" xfId="0" applyBorder="1" applyAlignment="1">
      <alignment horizontal="right" vertical="center"/>
    </xf>
    <xf numFmtId="9" fontId="0" fillId="11" borderId="1" xfId="5" applyFont="1" applyFill="1" applyBorder="1" applyAlignment="1">
      <alignment vertical="center"/>
    </xf>
    <xf numFmtId="168" fontId="0" fillId="11" borderId="1" xfId="0" applyNumberFormat="1" applyFill="1" applyBorder="1" applyAlignment="1">
      <alignment horizontal="center" vertical="center"/>
    </xf>
    <xf numFmtId="0" fontId="0" fillId="2" borderId="6" xfId="0" applyFill="1" applyBorder="1" applyAlignment="1">
      <alignment vertical="center" wrapText="1"/>
    </xf>
    <xf numFmtId="167" fontId="0" fillId="2" borderId="6" xfId="0" applyNumberFormat="1" applyFill="1" applyBorder="1" applyAlignment="1">
      <alignment horizontal="left" vertical="center"/>
    </xf>
    <xf numFmtId="0" fontId="0" fillId="2" borderId="6" xfId="0" applyFill="1" applyBorder="1" applyAlignment="1">
      <alignment horizontal="left" vertical="center" wrapText="1"/>
    </xf>
    <xf numFmtId="0" fontId="0" fillId="3" borderId="6" xfId="0" applyFill="1" applyBorder="1" applyAlignment="1">
      <alignment vertical="center" wrapText="1"/>
    </xf>
    <xf numFmtId="0" fontId="0" fillId="4" borderId="6" xfId="0" applyFill="1" applyBorder="1" applyAlignment="1">
      <alignment horizontal="left" vertical="center" wrapText="1"/>
    </xf>
    <xf numFmtId="0" fontId="5" fillId="0" borderId="5" xfId="0" applyFont="1" applyBorder="1" applyAlignment="1">
      <alignment horizontal="center" vertical="center"/>
    </xf>
    <xf numFmtId="0" fontId="0" fillId="8" borderId="5" xfId="0" applyFill="1" applyBorder="1" applyAlignment="1">
      <alignment horizontal="center" vertical="center" wrapText="1"/>
    </xf>
    <xf numFmtId="164" fontId="0" fillId="8" borderId="5" xfId="0" applyNumberFormat="1" applyFill="1" applyBorder="1" applyAlignment="1">
      <alignment horizontal="center" vertical="center"/>
    </xf>
    <xf numFmtId="0" fontId="5" fillId="8" borderId="5" xfId="0" applyFont="1" applyFill="1" applyBorder="1" applyAlignment="1">
      <alignment horizontal="center" vertical="center"/>
    </xf>
    <xf numFmtId="0" fontId="5" fillId="0" borderId="6" xfId="0" applyFont="1" applyBorder="1">
      <alignment vertical="center"/>
    </xf>
    <xf numFmtId="166" fontId="4" fillId="3" borderId="8" xfId="0" applyNumberFormat="1" applyFont="1" applyFill="1" applyBorder="1" applyAlignment="1">
      <alignment horizontal="center" vertical="center"/>
    </xf>
    <xf numFmtId="0" fontId="5" fillId="0" borderId="6" xfId="0" applyFont="1" applyBorder="1" applyAlignment="1">
      <alignment horizontal="center" vertical="center"/>
    </xf>
    <xf numFmtId="0" fontId="0" fillId="8" borderId="6" xfId="0" applyFill="1" applyBorder="1" applyAlignment="1">
      <alignment horizontal="center" vertical="center" wrapText="1"/>
    </xf>
    <xf numFmtId="164" fontId="0" fillId="8" borderId="6" xfId="0" applyNumberFormat="1" applyFill="1" applyBorder="1" applyAlignment="1">
      <alignment horizontal="center" vertical="center"/>
    </xf>
    <xf numFmtId="0" fontId="5" fillId="8" borderId="6" xfId="0" applyFont="1" applyFill="1" applyBorder="1" applyAlignment="1">
      <alignment horizontal="center" vertical="center"/>
    </xf>
    <xf numFmtId="166" fontId="4" fillId="3" borderId="6" xfId="0" applyNumberFormat="1" applyFont="1" applyFill="1" applyBorder="1" applyAlignment="1">
      <alignment horizontal="center" vertical="center"/>
    </xf>
    <xf numFmtId="0" fontId="0" fillId="0" borderId="9" xfId="0" applyBorder="1" applyAlignment="1">
      <alignment horizontal="center" vertical="center" wrapText="1"/>
    </xf>
    <xf numFmtId="0" fontId="5" fillId="0" borderId="7" xfId="0" applyFont="1" applyBorder="1" applyAlignment="1">
      <alignment horizontal="center" vertical="center"/>
    </xf>
    <xf numFmtId="0" fontId="0" fillId="8" borderId="7" xfId="0" applyFill="1" applyBorder="1" applyAlignment="1">
      <alignment horizontal="center" vertical="center" wrapText="1"/>
    </xf>
    <xf numFmtId="164" fontId="0" fillId="8" borderId="7" xfId="0" applyNumberFormat="1" applyFill="1" applyBorder="1" applyAlignment="1">
      <alignment horizontal="center" vertical="center"/>
    </xf>
    <xf numFmtId="0" fontId="5" fillId="8" borderId="7" xfId="0" applyFont="1" applyFill="1" applyBorder="1" applyAlignment="1">
      <alignment horizontal="center" vertical="center"/>
    </xf>
    <xf numFmtId="0" fontId="0" fillId="16" borderId="1" xfId="0" applyFill="1" applyBorder="1" applyAlignment="1">
      <alignment horizontal="center" vertical="center"/>
    </xf>
    <xf numFmtId="165" fontId="0" fillId="16" borderId="1" xfId="0" applyNumberFormat="1" applyFill="1" applyBorder="1">
      <alignment vertical="center"/>
    </xf>
    <xf numFmtId="164" fontId="0" fillId="16" borderId="1" xfId="0" applyNumberFormat="1" applyFill="1" applyBorder="1">
      <alignment vertical="center"/>
    </xf>
    <xf numFmtId="166" fontId="0" fillId="16" borderId="1" xfId="0" applyNumberFormat="1" applyFill="1" applyBorder="1">
      <alignment vertical="center"/>
    </xf>
    <xf numFmtId="0" fontId="0" fillId="16" borderId="1" xfId="0" applyFill="1" applyBorder="1">
      <alignment vertical="center"/>
    </xf>
    <xf numFmtId="0" fontId="5" fillId="16" borderId="1" xfId="0" applyFont="1" applyFill="1" applyBorder="1" applyAlignment="1">
      <alignment horizontal="center" vertical="center" wrapText="1"/>
    </xf>
    <xf numFmtId="0" fontId="9" fillId="17" borderId="1" xfId="0" applyFont="1" applyFill="1" applyBorder="1">
      <alignment vertical="center"/>
    </xf>
    <xf numFmtId="172" fontId="0" fillId="0" borderId="1" xfId="0" applyNumberFormat="1" applyBorder="1">
      <alignment vertical="center"/>
    </xf>
    <xf numFmtId="0" fontId="9" fillId="18" borderId="1" xfId="0" applyFont="1" applyFill="1" applyBorder="1" applyAlignment="1">
      <alignment horizontal="center" vertical="center"/>
    </xf>
    <xf numFmtId="0" fontId="5" fillId="12" borderId="1" xfId="0" applyFont="1" applyFill="1" applyBorder="1" applyAlignment="1">
      <alignment horizontal="center" vertical="center" wrapText="1"/>
    </xf>
    <xf numFmtId="0" fontId="29" fillId="0" borderId="1" xfId="0" applyFont="1" applyBorder="1" applyAlignment="1">
      <alignment vertical="top" wrapText="1"/>
    </xf>
    <xf numFmtId="17" fontId="29" fillId="0" borderId="1" xfId="0" applyNumberFormat="1" applyFont="1" applyBorder="1" applyAlignment="1">
      <alignment vertical="center" wrapText="1"/>
    </xf>
    <xf numFmtId="169" fontId="0" fillId="11" borderId="1" xfId="0" applyNumberFormat="1" applyFill="1" applyBorder="1">
      <alignment vertical="center"/>
    </xf>
    <xf numFmtId="165" fontId="0" fillId="0" borderId="4" xfId="0" applyNumberFormat="1" applyBorder="1" applyAlignment="1">
      <alignment horizontal="right" vertical="center"/>
    </xf>
    <xf numFmtId="0" fontId="17" fillId="0" borderId="1" xfId="0" applyFont="1" applyBorder="1" applyAlignment="1">
      <alignment horizontal="right" vertical="center"/>
    </xf>
    <xf numFmtId="0" fontId="4" fillId="0" borderId="0" xfId="0" applyFont="1" applyAlignment="1">
      <alignment horizontal="center" vertical="center" wrapText="1"/>
    </xf>
    <xf numFmtId="9" fontId="0" fillId="0" borderId="4" xfId="0" applyNumberFormat="1" applyBorder="1">
      <alignment vertical="center"/>
    </xf>
    <xf numFmtId="0" fontId="5" fillId="0" borderId="0" xfId="0" applyFont="1" applyAlignment="1">
      <alignment vertical="center" wrapText="1"/>
    </xf>
    <xf numFmtId="0" fontId="5" fillId="0" borderId="4" xfId="0" applyFont="1" applyBorder="1">
      <alignment vertical="center"/>
    </xf>
    <xf numFmtId="0" fontId="5" fillId="0" borderId="1" xfId="0" applyFont="1" applyBorder="1" applyAlignment="1">
      <alignment horizontal="right" vertical="center"/>
    </xf>
    <xf numFmtId="0" fontId="5" fillId="0" borderId="0" xfId="0" applyFont="1" applyAlignment="1">
      <alignment horizontal="right" vertical="center"/>
    </xf>
    <xf numFmtId="168" fontId="9" fillId="0" borderId="1" xfId="0" applyNumberFormat="1" applyFont="1" applyBorder="1" applyAlignment="1">
      <alignment horizontal="left" vertical="top"/>
    </xf>
    <xf numFmtId="168" fontId="9" fillId="0" borderId="1" xfId="0" applyNumberFormat="1" applyFont="1" applyBorder="1" applyAlignment="1">
      <alignment horizontal="left" vertical="top" wrapText="1"/>
    </xf>
    <xf numFmtId="168" fontId="9" fillId="0" borderId="2" xfId="0" applyNumberFormat="1" applyFont="1" applyBorder="1" applyAlignment="1">
      <alignment horizontal="left" vertical="top"/>
    </xf>
    <xf numFmtId="0" fontId="43" fillId="0" borderId="0" xfId="3" applyFont="1"/>
    <xf numFmtId="0" fontId="9" fillId="0" borderId="0" xfId="0" applyFont="1" applyAlignment="1">
      <alignment vertical="top" wrapText="1"/>
    </xf>
    <xf numFmtId="168" fontId="9" fillId="11" borderId="5" xfId="0" applyNumberFormat="1" applyFont="1" applyFill="1" applyBorder="1" applyAlignment="1">
      <alignment horizontal="left" vertical="top"/>
    </xf>
    <xf numFmtId="168" fontId="9" fillId="11" borderId="5" xfId="0" applyNumberFormat="1" applyFont="1" applyFill="1" applyBorder="1" applyAlignment="1">
      <alignment horizontal="left" vertical="top" wrapText="1"/>
    </xf>
    <xf numFmtId="168" fontId="9" fillId="11" borderId="8" xfId="0" applyNumberFormat="1" applyFont="1" applyFill="1" applyBorder="1" applyAlignment="1">
      <alignment horizontal="left" vertical="top"/>
    </xf>
    <xf numFmtId="0" fontId="8" fillId="2" borderId="1" xfId="3" applyFont="1" applyFill="1" applyBorder="1" applyAlignment="1">
      <alignment horizontal="center" vertical="top"/>
    </xf>
    <xf numFmtId="0" fontId="9" fillId="0" borderId="1" xfId="3" applyFont="1" applyBorder="1" applyAlignment="1">
      <alignment vertical="top" wrapText="1"/>
    </xf>
    <xf numFmtId="14" fontId="9" fillId="0" borderId="1" xfId="3" applyNumberFormat="1" applyFont="1" applyBorder="1" applyAlignment="1">
      <alignment vertical="top" wrapText="1"/>
    </xf>
    <xf numFmtId="0" fontId="9" fillId="0" borderId="5" xfId="3" applyFont="1" applyBorder="1" applyAlignment="1">
      <alignment vertical="top" wrapText="1"/>
    </xf>
    <xf numFmtId="0" fontId="9" fillId="11" borderId="1" xfId="3" applyFont="1" applyFill="1" applyBorder="1" applyAlignment="1">
      <alignment vertical="top" wrapText="1"/>
    </xf>
    <xf numFmtId="0" fontId="9" fillId="11" borderId="5" xfId="3" applyFont="1" applyFill="1" applyBorder="1" applyAlignment="1">
      <alignment vertical="top" wrapText="1"/>
    </xf>
    <xf numFmtId="0" fontId="4" fillId="0" borderId="0" xfId="3" applyFont="1" applyAlignment="1">
      <alignment vertical="top"/>
    </xf>
    <xf numFmtId="0" fontId="9" fillId="0" borderId="0" xfId="3" applyFont="1" applyAlignment="1">
      <alignment horizontal="left" vertical="top"/>
    </xf>
    <xf numFmtId="0" fontId="9" fillId="0" borderId="0" xfId="3" applyFont="1" applyAlignment="1">
      <alignment horizontal="center" vertical="top"/>
    </xf>
    <xf numFmtId="169" fontId="9" fillId="0" borderId="0" xfId="3" applyNumberFormat="1" applyFont="1" applyAlignment="1">
      <alignment vertical="top"/>
    </xf>
    <xf numFmtId="0" fontId="8" fillId="0" borderId="1" xfId="3" applyFont="1" applyBorder="1" applyAlignment="1">
      <alignment vertical="top"/>
    </xf>
    <xf numFmtId="0" fontId="8" fillId="0" borderId="4" xfId="3" applyFont="1" applyBorder="1" applyAlignment="1">
      <alignment vertical="top"/>
    </xf>
    <xf numFmtId="0" fontId="8" fillId="0" borderId="23" xfId="3" applyFont="1" applyBorder="1" applyAlignment="1">
      <alignment vertical="top"/>
    </xf>
    <xf numFmtId="0" fontId="8" fillId="2" borderId="5" xfId="3" applyFont="1" applyFill="1" applyBorder="1" applyAlignment="1">
      <alignment horizontal="center" vertical="top" wrapText="1"/>
    </xf>
    <xf numFmtId="0" fontId="9" fillId="0" borderId="2" xfId="3" applyFont="1" applyBorder="1" applyAlignment="1">
      <alignment vertical="top" wrapText="1"/>
    </xf>
    <xf numFmtId="0" fontId="9" fillId="0" borderId="2" xfId="3" applyFont="1" applyBorder="1" applyAlignment="1">
      <alignment horizontal="left" vertical="top" wrapText="1"/>
    </xf>
    <xf numFmtId="0" fontId="0" fillId="0" borderId="32" xfId="0" applyBorder="1" applyAlignment="1">
      <alignment horizontal="center" vertical="center"/>
    </xf>
    <xf numFmtId="14" fontId="0" fillId="0" borderId="61" xfId="0" applyNumberFormat="1" applyBorder="1" applyAlignment="1">
      <alignment horizontal="center" vertical="center"/>
    </xf>
    <xf numFmtId="0" fontId="0" fillId="0" borderId="62" xfId="0" applyBorder="1">
      <alignment vertical="center"/>
    </xf>
    <xf numFmtId="0" fontId="0" fillId="0" borderId="63" xfId="0" applyBorder="1">
      <alignment vertical="center"/>
    </xf>
    <xf numFmtId="0" fontId="0" fillId="0" borderId="44" xfId="0" applyBorder="1">
      <alignment vertical="center"/>
    </xf>
    <xf numFmtId="0" fontId="0" fillId="0" borderId="65" xfId="0" applyBorder="1" applyAlignment="1">
      <alignment horizontal="center" vertical="center"/>
    </xf>
    <xf numFmtId="164" fontId="13" fillId="0" borderId="1" xfId="0" applyNumberFormat="1" applyFont="1" applyBorder="1">
      <alignment vertical="center"/>
    </xf>
    <xf numFmtId="1" fontId="13" fillId="0" borderId="1" xfId="0" applyNumberFormat="1" applyFont="1" applyBorder="1">
      <alignment vertical="center"/>
    </xf>
    <xf numFmtId="0" fontId="22" fillId="0" borderId="0" xfId="0" applyFont="1" applyAlignment="1">
      <alignment horizontal="center" vertical="center"/>
    </xf>
    <xf numFmtId="0" fontId="34" fillId="0" borderId="1" xfId="0" applyFont="1" applyBorder="1" applyAlignment="1">
      <alignment horizontal="left" vertical="top" wrapText="1"/>
    </xf>
    <xf numFmtId="0" fontId="31"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9" xfId="0" applyBorder="1" applyAlignment="1">
      <alignment vertical="center" wrapText="1"/>
    </xf>
    <xf numFmtId="164" fontId="0" fillId="0" borderId="5" xfId="0" applyNumberFormat="1" applyBorder="1" applyAlignment="1">
      <alignment horizontal="center" vertical="center" wrapText="1"/>
    </xf>
    <xf numFmtId="166" fontId="0" fillId="0" borderId="5" xfId="0" applyNumberFormat="1" applyBorder="1" applyAlignment="1">
      <alignment horizontal="center" vertical="center" wrapText="1"/>
    </xf>
    <xf numFmtId="0" fontId="22" fillId="0" borderId="5" xfId="0" applyFont="1" applyBorder="1" applyAlignment="1">
      <alignment vertical="top" wrapText="1"/>
    </xf>
    <xf numFmtId="0" fontId="4" fillId="0" borderId="5" xfId="0" applyFont="1" applyBorder="1" applyAlignment="1">
      <alignment horizontal="center" vertical="center" wrapText="1"/>
    </xf>
    <xf numFmtId="0" fontId="0" fillId="0" borderId="6" xfId="0" applyBorder="1" applyAlignment="1">
      <alignment vertical="top" wrapText="1"/>
    </xf>
    <xf numFmtId="0" fontId="31" fillId="0" borderId="5" xfId="0" applyFont="1" applyBorder="1" applyAlignment="1">
      <alignment horizontal="left" vertical="top" wrapText="1"/>
    </xf>
    <xf numFmtId="164" fontId="0" fillId="0" borderId="7" xfId="0" applyNumberFormat="1" applyBorder="1" applyAlignment="1">
      <alignment horizontal="center" vertical="center" wrapText="1"/>
    </xf>
    <xf numFmtId="166" fontId="0" fillId="0" borderId="7" xfId="0" applyNumberFormat="1" applyBorder="1" applyAlignment="1">
      <alignment horizontal="center" vertical="center" wrapText="1"/>
    </xf>
    <xf numFmtId="0" fontId="4" fillId="0" borderId="7" xfId="0" applyFont="1" applyBorder="1" applyAlignment="1">
      <alignment horizontal="center" vertical="center" wrapText="1"/>
    </xf>
    <xf numFmtId="164" fontId="0" fillId="0" borderId="6" xfId="0" applyNumberFormat="1" applyBorder="1" applyAlignment="1">
      <alignment horizontal="center" vertical="center" wrapText="1"/>
    </xf>
    <xf numFmtId="166" fontId="0" fillId="0" borderId="6" xfId="0" applyNumberFormat="1" applyBorder="1" applyAlignment="1">
      <alignment horizontal="center" vertical="center" wrapText="1"/>
    </xf>
    <xf numFmtId="0" fontId="31" fillId="0" borderId="6" xfId="0" applyFont="1" applyBorder="1" applyAlignment="1">
      <alignment horizontal="left" vertical="top" wrapText="1"/>
    </xf>
    <xf numFmtId="0" fontId="4" fillId="0" borderId="6" xfId="0" applyFont="1" applyBorder="1" applyAlignment="1">
      <alignment horizontal="center" vertical="center" wrapText="1"/>
    </xf>
    <xf numFmtId="0" fontId="5" fillId="0" borderId="6" xfId="0" applyFont="1" applyBorder="1" applyAlignment="1">
      <alignment vertical="center" wrapText="1"/>
    </xf>
    <xf numFmtId="0" fontId="0" fillId="0" borderId="3" xfId="0" applyBorder="1" applyAlignment="1">
      <alignment vertical="center" wrapText="1"/>
    </xf>
    <xf numFmtId="0" fontId="5" fillId="0" borderId="4" xfId="0" applyFont="1" applyBorder="1" applyAlignment="1">
      <alignment horizontal="center" vertical="center" wrapText="1"/>
    </xf>
    <xf numFmtId="0" fontId="22" fillId="0" borderId="1" xfId="0" applyFont="1" applyBorder="1" applyAlignment="1">
      <alignment horizontal="center" vertical="center" wrapText="1"/>
    </xf>
    <xf numFmtId="0" fontId="5" fillId="19" borderId="1" xfId="0" applyFont="1" applyFill="1" applyBorder="1" applyAlignment="1">
      <alignment horizontal="center" vertical="center" wrapText="1"/>
    </xf>
    <xf numFmtId="0" fontId="0" fillId="19" borderId="1" xfId="0" applyFill="1" applyBorder="1" applyAlignment="1">
      <alignment horizontal="center" vertical="center" wrapText="1"/>
    </xf>
    <xf numFmtId="0" fontId="0" fillId="19" borderId="4" xfId="0" applyFill="1" applyBorder="1" applyAlignment="1">
      <alignment horizontal="center" vertical="center" wrapText="1"/>
    </xf>
    <xf numFmtId="15" fontId="4" fillId="0" borderId="0" xfId="3" applyNumberFormat="1" applyFont="1" applyAlignment="1">
      <alignment vertical="top"/>
    </xf>
    <xf numFmtId="165" fontId="0" fillId="0" borderId="0" xfId="0" applyNumberFormat="1">
      <alignment vertical="center"/>
    </xf>
    <xf numFmtId="164" fontId="29" fillId="0" borderId="1" xfId="0" applyNumberFormat="1" applyFont="1" applyBorder="1">
      <alignment vertical="center"/>
    </xf>
    <xf numFmtId="0" fontId="29" fillId="0" borderId="1" xfId="0" applyFont="1" applyBorder="1" applyAlignment="1">
      <alignment horizontal="center" vertical="center"/>
    </xf>
    <xf numFmtId="0" fontId="5" fillId="2" borderId="1" xfId="0" applyFont="1" applyFill="1" applyBorder="1">
      <alignment vertical="center"/>
    </xf>
    <xf numFmtId="0" fontId="9" fillId="0" borderId="27" xfId="3" applyFont="1" applyBorder="1" applyAlignment="1">
      <alignment horizontal="left" vertical="top"/>
    </xf>
    <xf numFmtId="0" fontId="9" fillId="0" borderId="27" xfId="3" applyFont="1" applyBorder="1" applyAlignment="1">
      <alignment horizontal="center" vertical="top"/>
    </xf>
    <xf numFmtId="0" fontId="9" fillId="0" borderId="27" xfId="3" applyFont="1" applyBorder="1" applyAlignment="1">
      <alignment horizontal="center" vertical="top" wrapText="1"/>
    </xf>
    <xf numFmtId="169" fontId="9" fillId="0" borderId="27" xfId="3" applyNumberFormat="1" applyFont="1" applyBorder="1" applyAlignment="1">
      <alignment vertical="top"/>
    </xf>
    <xf numFmtId="15" fontId="9" fillId="0" borderId="27" xfId="3" applyNumberFormat="1" applyFont="1" applyBorder="1" applyAlignment="1">
      <alignment vertical="top"/>
    </xf>
    <xf numFmtId="0" fontId="9" fillId="0" borderId="27" xfId="3" applyFont="1" applyBorder="1" applyAlignment="1">
      <alignment vertical="top" wrapText="1"/>
    </xf>
    <xf numFmtId="0" fontId="9" fillId="0" borderId="27" xfId="3" applyFont="1" applyBorder="1" applyAlignment="1">
      <alignment vertical="top"/>
    </xf>
    <xf numFmtId="0" fontId="12" fillId="0" borderId="1" xfId="3" applyFont="1" applyBorder="1" applyAlignment="1">
      <alignment vertical="top" wrapText="1"/>
    </xf>
    <xf numFmtId="0" fontId="12" fillId="0" borderId="2" xfId="3" applyFont="1" applyBorder="1" applyAlignment="1">
      <alignment vertical="top" wrapText="1"/>
    </xf>
    <xf numFmtId="2" fontId="0" fillId="0" borderId="0" xfId="0" applyNumberFormat="1" applyAlignment="1">
      <alignment horizontal="center" vertical="center"/>
    </xf>
    <xf numFmtId="0" fontId="18" fillId="0" borderId="0" xfId="0" applyFont="1" applyAlignment="1">
      <alignment horizontal="center" vertical="center"/>
    </xf>
    <xf numFmtId="165" fontId="0" fillId="0" borderId="4" xfId="0" applyNumberFormat="1" applyBorder="1">
      <alignment vertical="center"/>
    </xf>
    <xf numFmtId="166" fontId="4" fillId="3" borderId="10" xfId="0" applyNumberFormat="1" applyFont="1" applyFill="1" applyBorder="1" applyAlignment="1">
      <alignment horizontal="center" vertical="center"/>
    </xf>
    <xf numFmtId="0" fontId="5" fillId="0" borderId="25" xfId="0" applyFont="1" applyBorder="1" applyAlignment="1">
      <alignment horizontal="center" vertical="center" wrapText="1"/>
    </xf>
    <xf numFmtId="0" fontId="0" fillId="4" borderId="14" xfId="0" applyFill="1" applyBorder="1">
      <alignment vertical="center"/>
    </xf>
    <xf numFmtId="0" fontId="0" fillId="4" borderId="15" xfId="0" applyFill="1" applyBorder="1" applyAlignment="1">
      <alignment horizontal="left" vertical="center" wrapText="1"/>
    </xf>
    <xf numFmtId="0" fontId="5" fillId="0" borderId="23" xfId="0" applyFont="1" applyBorder="1" applyAlignment="1">
      <alignment horizontal="center" vertical="center" wrapText="1"/>
    </xf>
    <xf numFmtId="0" fontId="22" fillId="0" borderId="5" xfId="0" applyFont="1" applyBorder="1" applyAlignment="1">
      <alignment horizontal="center" vertical="center" wrapText="1"/>
    </xf>
    <xf numFmtId="0" fontId="22" fillId="0" borderId="6" xfId="0" applyFont="1" applyBorder="1" applyAlignment="1">
      <alignment vertical="top" wrapText="1"/>
    </xf>
    <xf numFmtId="0" fontId="0" fillId="2" borderId="1" xfId="0" applyFill="1" applyBorder="1">
      <alignment vertical="center"/>
    </xf>
    <xf numFmtId="0" fontId="0" fillId="3" borderId="1" xfId="0" applyFill="1" applyBorder="1">
      <alignment vertical="center"/>
    </xf>
    <xf numFmtId="0" fontId="5" fillId="2" borderId="1" xfId="0" applyFont="1" applyFill="1" applyBorder="1" applyAlignment="1">
      <alignment vertical="center" wrapText="1"/>
    </xf>
    <xf numFmtId="167" fontId="0" fillId="2" borderId="1" xfId="0" applyNumberFormat="1" applyFill="1" applyBorder="1" applyAlignment="1">
      <alignment horizontal="left" vertical="center"/>
    </xf>
    <xf numFmtId="0" fontId="5" fillId="2" borderId="1" xfId="0" applyFont="1" applyFill="1" applyBorder="1" applyAlignment="1">
      <alignment horizontal="left" vertical="center" wrapText="1"/>
    </xf>
    <xf numFmtId="0" fontId="5" fillId="3" borderId="1" xfId="0" applyFont="1" applyFill="1" applyBorder="1" applyAlignment="1">
      <alignment vertical="center" wrapText="1"/>
    </xf>
    <xf numFmtId="0" fontId="0" fillId="4" borderId="1" xfId="0" applyFill="1" applyBorder="1" applyAlignment="1">
      <alignment vertical="center" wrapText="1"/>
    </xf>
    <xf numFmtId="0" fontId="0" fillId="4" borderId="1" xfId="0" applyFill="1" applyBorder="1" applyAlignment="1">
      <alignment horizontal="left" vertical="center" wrapText="1"/>
    </xf>
    <xf numFmtId="0" fontId="5" fillId="4" borderId="1" xfId="0" applyFont="1" applyFill="1" applyBorder="1" applyAlignment="1">
      <alignment horizontal="left" vertical="center" wrapText="1"/>
    </xf>
    <xf numFmtId="169" fontId="0" fillId="0" borderId="0" xfId="0" applyNumberFormat="1">
      <alignment vertical="center"/>
    </xf>
    <xf numFmtId="169" fontId="13" fillId="0" borderId="1" xfId="0" applyNumberFormat="1" applyFont="1" applyBorder="1">
      <alignment vertical="center"/>
    </xf>
    <xf numFmtId="169" fontId="29" fillId="0" borderId="0" xfId="0" applyNumberFormat="1" applyFont="1">
      <alignment vertical="center"/>
    </xf>
    <xf numFmtId="0" fontId="12" fillId="0" borderId="0" xfId="0" applyFont="1" applyAlignment="1">
      <alignment vertical="center" wrapText="1"/>
    </xf>
    <xf numFmtId="2" fontId="5" fillId="2" borderId="0" xfId="0" applyNumberFormat="1" applyFont="1" applyFill="1" applyAlignment="1">
      <alignment horizontal="center" vertical="center"/>
    </xf>
    <xf numFmtId="10" fontId="0" fillId="2" borderId="0" xfId="0" applyNumberFormat="1" applyFill="1" applyAlignment="1">
      <alignment horizontal="center" vertical="center"/>
    </xf>
    <xf numFmtId="169" fontId="0" fillId="0" borderId="1" xfId="0" applyNumberFormat="1" applyBorder="1">
      <alignment vertical="center"/>
    </xf>
    <xf numFmtId="2" fontId="0" fillId="0" borderId="1" xfId="0" applyNumberFormat="1" applyBorder="1" applyAlignment="1">
      <alignment vertical="center" wrapText="1"/>
    </xf>
    <xf numFmtId="164" fontId="0" fillId="8" borderId="1" xfId="0" applyNumberFormat="1" applyFill="1" applyBorder="1" applyAlignment="1">
      <alignment horizontal="center" vertical="center" wrapText="1"/>
    </xf>
    <xf numFmtId="166" fontId="4" fillId="3" borderId="1" xfId="0" applyNumberFormat="1"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6" borderId="21" xfId="2" applyFont="1" applyFill="1" applyBorder="1" applyAlignment="1">
      <alignment horizontal="center" vertical="center" wrapText="1" readingOrder="1"/>
    </xf>
    <xf numFmtId="0" fontId="5" fillId="6" borderId="22" xfId="2" applyFont="1" applyFill="1" applyBorder="1" applyAlignment="1">
      <alignment horizontal="center" vertical="center" wrapText="1" readingOrder="1"/>
    </xf>
    <xf numFmtId="0" fontId="5" fillId="7" borderId="17" xfId="2" applyFont="1" applyFill="1" applyBorder="1" applyAlignment="1">
      <alignment horizontal="center" vertical="center" wrapText="1" readingOrder="1"/>
    </xf>
    <xf numFmtId="0" fontId="14" fillId="5" borderId="18" xfId="2" applyFont="1" applyFill="1" applyBorder="1" applyAlignment="1">
      <alignment horizontal="center" vertical="center" wrapText="1" readingOrder="1"/>
    </xf>
    <xf numFmtId="0" fontId="14" fillId="5" borderId="19" xfId="2" applyFont="1" applyFill="1" applyBorder="1" applyAlignment="1">
      <alignment horizontal="center" vertical="center" wrapText="1" readingOrder="1"/>
    </xf>
    <xf numFmtId="0" fontId="14" fillId="5" borderId="20" xfId="2" applyFont="1" applyFill="1" applyBorder="1" applyAlignment="1">
      <alignment horizontal="center" vertical="center" wrapText="1" readingOrder="1"/>
    </xf>
    <xf numFmtId="0" fontId="14" fillId="5" borderId="17" xfId="2" applyFont="1" applyFill="1" applyBorder="1" applyAlignment="1">
      <alignment horizontal="center" vertical="center" wrapText="1" readingOrder="1"/>
    </xf>
    <xf numFmtId="0" fontId="5" fillId="6" borderId="17" xfId="2" applyFont="1" applyFill="1" applyBorder="1" applyAlignment="1">
      <alignment horizontal="center" vertical="center" wrapText="1" readingOrder="1"/>
    </xf>
    <xf numFmtId="0" fontId="12" fillId="7" borderId="17" xfId="0" applyFont="1" applyFill="1" applyBorder="1" applyAlignment="1">
      <alignment horizontal="center" vertical="center" wrapText="1" readingOrder="1"/>
    </xf>
    <xf numFmtId="0" fontId="12" fillId="6" borderId="17" xfId="0" applyFont="1" applyFill="1" applyBorder="1" applyAlignment="1">
      <alignment horizontal="center" vertical="center" wrapText="1" readingOrder="1"/>
    </xf>
    <xf numFmtId="0" fontId="12" fillId="6" borderId="21" xfId="0" applyFont="1" applyFill="1" applyBorder="1" applyAlignment="1">
      <alignment horizontal="center" vertical="center" wrapText="1" readingOrder="1"/>
    </xf>
    <xf numFmtId="0" fontId="12" fillId="6" borderId="22" xfId="0" applyFont="1" applyFill="1" applyBorder="1" applyAlignment="1">
      <alignment horizontal="center" vertical="center" wrapText="1" readingOrder="1"/>
    </xf>
    <xf numFmtId="0" fontId="11" fillId="5" borderId="18" xfId="0" applyFont="1" applyFill="1" applyBorder="1" applyAlignment="1">
      <alignment horizontal="center" vertical="center" wrapText="1" readingOrder="1"/>
    </xf>
    <xf numFmtId="0" fontId="11" fillId="5" borderId="19" xfId="0" applyFont="1" applyFill="1" applyBorder="1" applyAlignment="1">
      <alignment horizontal="center" vertical="center" wrapText="1" readingOrder="1"/>
    </xf>
    <xf numFmtId="0" fontId="11" fillId="5" borderId="20" xfId="0" applyFont="1" applyFill="1" applyBorder="1" applyAlignment="1">
      <alignment horizontal="center" vertical="center" wrapText="1" readingOrder="1"/>
    </xf>
    <xf numFmtId="0" fontId="11" fillId="5" borderId="17" xfId="0" applyFont="1" applyFill="1" applyBorder="1" applyAlignment="1">
      <alignment horizontal="center" vertical="center" wrapText="1" readingOrder="1"/>
    </xf>
    <xf numFmtId="0" fontId="5"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32" xfId="0" applyBorder="1" applyAlignment="1">
      <alignment horizontal="center" vertical="center"/>
    </xf>
    <xf numFmtId="0" fontId="0" fillId="0" borderId="33" xfId="0" applyBorder="1" applyAlignment="1">
      <alignment horizontal="center" vertical="center"/>
    </xf>
    <xf numFmtId="0" fontId="18" fillId="0" borderId="7" xfId="0" applyFont="1" applyBorder="1" applyAlignment="1">
      <alignment horizontal="center" vertical="center"/>
    </xf>
    <xf numFmtId="0" fontId="18" fillId="0" borderId="4" xfId="0" applyFont="1" applyBorder="1" applyAlignment="1">
      <alignment horizontal="center" vertical="center"/>
    </xf>
    <xf numFmtId="0" fontId="18" fillId="8" borderId="1" xfId="0" applyFont="1" applyFill="1" applyBorder="1" applyAlignment="1">
      <alignment horizontal="center" vertical="center"/>
    </xf>
    <xf numFmtId="0" fontId="18" fillId="0" borderId="1" xfId="0" applyFont="1" applyBorder="1" applyAlignment="1">
      <alignment horizontal="center" vertical="center"/>
    </xf>
    <xf numFmtId="0" fontId="18" fillId="0" borderId="5" xfId="0" applyFont="1" applyBorder="1" applyAlignment="1">
      <alignment horizontal="left" vertical="center" wrapText="1"/>
    </xf>
    <xf numFmtId="0" fontId="18" fillId="0" borderId="7" xfId="0" applyFont="1" applyBorder="1" applyAlignment="1">
      <alignment horizontal="left" vertical="center" wrapText="1"/>
    </xf>
    <xf numFmtId="0" fontId="18" fillId="13" borderId="1" xfId="0" applyFont="1" applyFill="1" applyBorder="1" applyAlignment="1">
      <alignment horizontal="center" vertical="center" wrapText="1"/>
    </xf>
    <xf numFmtId="0" fontId="18" fillId="0" borderId="5" xfId="0" applyFont="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7" xfId="0" applyFont="1" applyBorder="1" applyAlignment="1">
      <alignment horizontal="left" vertical="center"/>
    </xf>
    <xf numFmtId="0" fontId="18" fillId="13" borderId="1" xfId="0" applyFont="1" applyFill="1" applyBorder="1" applyAlignment="1">
      <alignment horizontal="center" vertical="center"/>
    </xf>
    <xf numFmtId="0" fontId="18" fillId="4" borderId="2" xfId="0" applyFont="1" applyFill="1" applyBorder="1" applyAlignment="1">
      <alignment horizontal="center" vertical="center"/>
    </xf>
    <xf numFmtId="0" fontId="18" fillId="4" borderId="3" xfId="0" applyFont="1" applyFill="1" applyBorder="1" applyAlignment="1">
      <alignment horizontal="center" vertical="center"/>
    </xf>
    <xf numFmtId="0" fontId="18" fillId="4" borderId="4" xfId="0" applyFont="1" applyFill="1" applyBorder="1" applyAlignment="1">
      <alignment horizontal="center" vertical="center"/>
    </xf>
    <xf numFmtId="0" fontId="18" fillId="13" borderId="2" xfId="0" applyFont="1" applyFill="1" applyBorder="1" applyAlignment="1">
      <alignment horizontal="center" vertical="center" wrapText="1"/>
    </xf>
    <xf numFmtId="0" fontId="18" fillId="13" borderId="4" xfId="0" applyFont="1" applyFill="1" applyBorder="1" applyAlignment="1">
      <alignment horizontal="center" vertical="center" wrapText="1"/>
    </xf>
    <xf numFmtId="0" fontId="18" fillId="13" borderId="2" xfId="0" applyFont="1" applyFill="1" applyBorder="1" applyAlignment="1">
      <alignment horizontal="center" vertical="center"/>
    </xf>
    <xf numFmtId="0" fontId="18" fillId="13" borderId="3" xfId="0" applyFont="1" applyFill="1" applyBorder="1" applyAlignment="1">
      <alignment horizontal="center" vertical="center"/>
    </xf>
    <xf numFmtId="0" fontId="18" fillId="13" borderId="4" xfId="0" applyFont="1" applyFill="1" applyBorder="1" applyAlignment="1">
      <alignment horizontal="center" vertical="center"/>
    </xf>
    <xf numFmtId="0" fontId="18" fillId="13" borderId="3" xfId="0" applyFont="1" applyFill="1" applyBorder="1" applyAlignment="1">
      <alignment horizontal="center" vertical="center" wrapText="1"/>
    </xf>
    <xf numFmtId="0" fontId="9" fillId="0" borderId="5" xfId="3" applyFont="1" applyBorder="1" applyAlignment="1">
      <alignment horizontal="left" vertical="top" wrapText="1"/>
    </xf>
    <xf numFmtId="0" fontId="9" fillId="0" borderId="7" xfId="3" applyFont="1" applyBorder="1" applyAlignment="1">
      <alignment horizontal="left" vertical="top" wrapText="1"/>
    </xf>
    <xf numFmtId="0" fontId="9" fillId="0" borderId="1" xfId="3" applyFont="1" applyBorder="1" applyAlignment="1">
      <alignment horizontal="left" vertical="top" wrapText="1"/>
    </xf>
    <xf numFmtId="0" fontId="9" fillId="0" borderId="5" xfId="3" applyFont="1" applyBorder="1" applyAlignment="1">
      <alignment horizontal="left" vertical="top"/>
    </xf>
    <xf numFmtId="0" fontId="9" fillId="0" borderId="7" xfId="3" applyFont="1" applyBorder="1" applyAlignment="1">
      <alignment horizontal="left" vertical="top"/>
    </xf>
    <xf numFmtId="0" fontId="9" fillId="0" borderId="6" xfId="3" applyFont="1" applyBorder="1" applyAlignment="1">
      <alignment horizontal="left" vertical="top" wrapText="1"/>
    </xf>
    <xf numFmtId="0" fontId="9" fillId="0" borderId="1" xfId="0" applyFont="1" applyBorder="1" applyAlignment="1">
      <alignment horizontal="left" vertical="top"/>
    </xf>
    <xf numFmtId="0" fontId="9" fillId="0" borderId="1" xfId="0" applyFont="1" applyBorder="1" applyAlignment="1">
      <alignment horizontal="center" vertical="top"/>
    </xf>
    <xf numFmtId="0" fontId="9" fillId="0" borderId="8" xfId="3" applyFont="1" applyBorder="1" applyAlignment="1">
      <alignment horizontal="left" vertical="top" wrapText="1"/>
    </xf>
    <xf numFmtId="0" fontId="9" fillId="0" borderId="9" xfId="3" applyFont="1" applyBorder="1" applyAlignment="1">
      <alignment horizontal="left" vertical="top" wrapText="1"/>
    </xf>
    <xf numFmtId="0" fontId="8" fillId="2" borderId="3" xfId="3" applyFont="1" applyFill="1" applyBorder="1" applyAlignment="1">
      <alignment horizontal="center" vertical="top"/>
    </xf>
    <xf numFmtId="0" fontId="8" fillId="2" borderId="4" xfId="3" applyFont="1" applyFill="1" applyBorder="1" applyAlignment="1">
      <alignment horizontal="center" vertical="top"/>
    </xf>
    <xf numFmtId="169" fontId="8" fillId="2" borderId="5" xfId="3" applyNumberFormat="1" applyFont="1" applyFill="1" applyBorder="1" applyAlignment="1">
      <alignment horizontal="center" vertical="top" wrapText="1"/>
    </xf>
    <xf numFmtId="169" fontId="8" fillId="2" borderId="7" xfId="3" applyNumberFormat="1" applyFont="1" applyFill="1" applyBorder="1" applyAlignment="1">
      <alignment horizontal="center" vertical="top" wrapText="1"/>
    </xf>
    <xf numFmtId="0" fontId="8" fillId="2" borderId="5" xfId="3" applyFont="1" applyFill="1" applyBorder="1" applyAlignment="1">
      <alignment horizontal="center" vertical="top" wrapText="1"/>
    </xf>
    <xf numFmtId="0" fontId="8" fillId="2" borderId="7" xfId="3" applyFont="1" applyFill="1" applyBorder="1" applyAlignment="1">
      <alignment horizontal="center" vertical="top" wrapText="1"/>
    </xf>
    <xf numFmtId="169" fontId="8" fillId="2" borderId="6" xfId="3" applyNumberFormat="1" applyFont="1" applyFill="1" applyBorder="1" applyAlignment="1">
      <alignment horizontal="center" vertical="top" wrapText="1"/>
    </xf>
    <xf numFmtId="0" fontId="9" fillId="0" borderId="8" xfId="4" applyFont="1" applyFill="1" applyBorder="1" applyAlignment="1">
      <alignment horizontal="center" vertical="top"/>
    </xf>
    <xf numFmtId="0" fontId="9" fillId="0" borderId="10" xfId="4" applyFont="1" applyFill="1" applyBorder="1" applyAlignment="1">
      <alignment horizontal="center" vertical="top"/>
    </xf>
    <xf numFmtId="0" fontId="9" fillId="0" borderId="5" xfId="4" applyFont="1" applyFill="1" applyBorder="1" applyAlignment="1">
      <alignment horizontal="center" vertical="top"/>
    </xf>
    <xf numFmtId="0" fontId="9" fillId="0" borderId="7" xfId="4" applyFont="1" applyFill="1" applyBorder="1" applyAlignment="1">
      <alignment horizontal="center" vertical="top"/>
    </xf>
    <xf numFmtId="0" fontId="8" fillId="2" borderId="5" xfId="3" applyFont="1" applyFill="1" applyBorder="1" applyAlignment="1">
      <alignment horizontal="left" vertical="top" wrapText="1"/>
    </xf>
    <xf numFmtId="0" fontId="8" fillId="2" borderId="7" xfId="3" applyFont="1" applyFill="1" applyBorder="1" applyAlignment="1">
      <alignment horizontal="left" vertical="top" wrapText="1"/>
    </xf>
    <xf numFmtId="0" fontId="8" fillId="2" borderId="5" xfId="3" applyFont="1" applyFill="1" applyBorder="1" applyAlignment="1">
      <alignment horizontal="center" vertical="top"/>
    </xf>
    <xf numFmtId="0" fontId="8" fillId="2" borderId="7" xfId="3" applyFont="1" applyFill="1" applyBorder="1" applyAlignment="1">
      <alignment horizontal="center" vertical="top"/>
    </xf>
    <xf numFmtId="17" fontId="9" fillId="0" borderId="1" xfId="3" applyNumberFormat="1" applyFont="1" applyBorder="1" applyAlignment="1">
      <alignment horizontal="center" vertical="top"/>
    </xf>
    <xf numFmtId="0" fontId="9" fillId="0" borderId="5" xfId="0" applyFont="1" applyBorder="1" applyAlignment="1">
      <alignment horizontal="center" vertical="top"/>
    </xf>
    <xf numFmtId="0" fontId="9" fillId="0" borderId="7" xfId="0" applyFont="1" applyBorder="1" applyAlignment="1">
      <alignment horizontal="center" vertical="top"/>
    </xf>
    <xf numFmtId="17" fontId="9" fillId="0" borderId="5" xfId="3" applyNumberFormat="1" applyFont="1" applyBorder="1" applyAlignment="1">
      <alignment horizontal="center" vertical="top"/>
    </xf>
    <xf numFmtId="17" fontId="9" fillId="0" borderId="6" xfId="3" applyNumberFormat="1" applyFont="1" applyBorder="1" applyAlignment="1">
      <alignment horizontal="center" vertical="top"/>
    </xf>
    <xf numFmtId="0" fontId="9" fillId="0" borderId="1" xfId="4" applyFont="1" applyFill="1" applyBorder="1" applyAlignment="1">
      <alignment horizontal="center" vertical="top"/>
    </xf>
    <xf numFmtId="0" fontId="9" fillId="0" borderId="6" xfId="4" applyFont="1" applyFill="1" applyBorder="1" applyAlignment="1">
      <alignment horizontal="center" vertical="top"/>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8" fillId="0" borderId="3" xfId="0" applyFont="1" applyBorder="1" applyAlignment="1">
      <alignment horizontal="center" vertical="center" wrapText="1"/>
    </xf>
    <xf numFmtId="0" fontId="18"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64" xfId="0" applyBorder="1" applyAlignment="1">
      <alignment horizontal="center" vertical="center"/>
    </xf>
    <xf numFmtId="0" fontId="49" fillId="0" borderId="1" xfId="0" applyFont="1" applyBorder="1" applyAlignment="1">
      <alignment vertical="center" wrapText="1"/>
    </xf>
    <xf numFmtId="0" fontId="18" fillId="0" borderId="4" xfId="0" applyFont="1" applyBorder="1" applyAlignment="1">
      <alignment vertical="center"/>
    </xf>
    <xf numFmtId="0" fontId="18" fillId="0" borderId="1" xfId="0" applyFont="1" applyBorder="1" applyAlignment="1">
      <alignment vertical="center"/>
    </xf>
  </cellXfs>
  <cellStyles count="7">
    <cellStyle name="Hyperlink" xfId="4" builtinId="8"/>
    <cellStyle name="Normal" xfId="0" builtinId="0"/>
    <cellStyle name="Normal 2" xfId="3" xr:uid="{EC23E65A-D561-4E8B-B68D-05F882AF354A}"/>
    <cellStyle name="Normal 3" xfId="6" xr:uid="{92AEEFB6-D576-41FB-AEFF-AD69C4FFF34E}"/>
    <cellStyle name="Percent" xfId="5" builtinId="5"/>
    <cellStyle name="標準 2" xfId="1" xr:uid="{1F7367B0-5FF1-4792-B669-C06EE4C60B7F}"/>
    <cellStyle name="標準 3" xfId="2" xr:uid="{1F09E2DD-B71E-49EE-B2DE-FF0E62B33E04}"/>
  </cellStyles>
  <dxfs count="10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4"/>
      </font>
      <fill>
        <patternFill>
          <bgColor theme="4" tint="0.79998168889431442"/>
        </patternFill>
      </fill>
    </dxf>
    <dxf>
      <font>
        <color rgb="FF9C0006"/>
      </font>
      <fill>
        <patternFill>
          <bgColor rgb="FFFFC7CE"/>
        </patternFill>
      </fill>
    </dxf>
    <dxf>
      <font>
        <color rgb="FFC00000"/>
      </font>
      <fill>
        <patternFill patternType="solid">
          <fgColor auto="1"/>
          <bgColor rgb="FFFFC7CE"/>
        </patternFill>
      </fill>
    </dxf>
    <dxf>
      <font>
        <color rgb="FF9C0006"/>
      </font>
      <fill>
        <patternFill>
          <bgColor rgb="FFFFC7CE"/>
        </patternFill>
      </fill>
    </dxf>
    <dxf>
      <fill>
        <patternFill>
          <bgColor rgb="FF00B050"/>
        </patternFill>
      </fill>
    </dxf>
    <dxf>
      <font>
        <color rgb="FF9C0006"/>
      </font>
      <fill>
        <patternFill>
          <bgColor rgb="FFFFC7CE"/>
        </patternFill>
      </fill>
    </dxf>
    <dxf>
      <font>
        <color rgb="FF006100"/>
      </font>
      <fill>
        <patternFill>
          <bgColor rgb="FFC6EFCE"/>
        </patternFill>
      </fill>
    </dxf>
    <dxf>
      <font>
        <color theme="0"/>
      </font>
      <fill>
        <patternFill patternType="solid">
          <bgColor rgb="FFFF0000"/>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DBF3FF"/>
        </patternFill>
      </fill>
    </dxf>
    <dxf>
      <font>
        <color theme="0"/>
      </font>
      <fill>
        <patternFill patternType="solid">
          <bgColor theme="1"/>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0"/>
      </font>
      <fill>
        <patternFill patternType="solid">
          <bgColor rgb="FFFF0000"/>
        </patternFill>
      </fill>
    </dxf>
    <dxf>
      <fill>
        <patternFill patternType="solid">
          <bgColor rgb="FFFFFF00"/>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1"/>
      </font>
      <fill>
        <patternFill patternType="solid">
          <bgColor rgb="FFDBF3FF"/>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ont>
        <color theme="0"/>
      </font>
      <fill>
        <patternFill patternType="solid">
          <bgColor rgb="FF0000FF"/>
        </patternFill>
      </fill>
    </dxf>
    <dxf>
      <fill>
        <patternFill patternType="solid">
          <bgColor rgb="FFFFFF00"/>
        </patternFill>
      </fill>
    </dxf>
    <dxf>
      <font>
        <color theme="1"/>
      </font>
      <fill>
        <patternFill patternType="solid">
          <bgColor rgb="FFFFFF00"/>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FFFF00"/>
        </patternFill>
      </fill>
    </dxf>
    <dxf>
      <font>
        <color theme="1"/>
      </font>
      <fill>
        <patternFill patternType="solid">
          <bgColor rgb="FFDBF3FF"/>
        </patternFill>
      </fill>
    </dxf>
    <dxf>
      <font>
        <color theme="0"/>
      </font>
      <fill>
        <patternFill patternType="solid">
          <bgColor rgb="FF0000FF"/>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0"/>
      </font>
      <fill>
        <patternFill patternType="solid">
          <bgColor rgb="FFFF0000"/>
        </patternFill>
      </fill>
    </dxf>
    <dxf>
      <font>
        <color theme="1"/>
      </font>
      <fill>
        <patternFill patternType="solid">
          <bgColor theme="0" tint="-0.14999847407452621"/>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patternFill>
      </fill>
    </dxf>
    <dxf>
      <font>
        <color theme="0"/>
      </font>
      <fill>
        <patternFill patternType="solid">
          <bgColor theme="1"/>
        </patternFill>
      </fill>
    </dxf>
    <dxf>
      <font>
        <color theme="0"/>
      </font>
      <fill>
        <patternFill patternType="solid">
          <bgColor rgb="FFFF0000"/>
        </patternFill>
      </fill>
    </dxf>
    <dxf>
      <fill>
        <patternFill patternType="solid">
          <bgColor rgb="FFFFFF00"/>
        </patternFill>
      </fill>
    </dxf>
    <dxf>
      <font>
        <color theme="1"/>
      </font>
      <fill>
        <patternFill patternType="solid">
          <bgColor rgb="FFFFC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0"/>
      </font>
      <fill>
        <patternFill patternType="solid">
          <bgColor rgb="FFFF0000"/>
        </patternFill>
      </fill>
    </dxf>
    <dxf>
      <font>
        <color theme="1"/>
      </font>
      <fill>
        <patternFill patternType="solid">
          <bgColor rgb="FFDBF3FF"/>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rgb="FFFFC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DBF3FF"/>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rgb="FFFF0000"/>
        </patternFill>
      </fill>
    </dxf>
    <dxf>
      <font>
        <color theme="0"/>
      </font>
      <fill>
        <patternFill patternType="solid">
          <bgColor rgb="FFFF0000"/>
        </patternFill>
      </fill>
    </dxf>
    <dxf>
      <fill>
        <patternFill patternType="solid">
          <bgColor rgb="FFFFFF0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DBF3FF"/>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0000FF"/>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rgb="FFFF0000"/>
        </patternFill>
      </fill>
    </dxf>
    <dxf>
      <font>
        <color theme="1"/>
      </font>
      <fill>
        <patternFill patternType="solid">
          <bgColor rgb="FFFFFF00"/>
        </patternFill>
      </fill>
    </dxf>
    <dxf>
      <font>
        <color theme="1"/>
      </font>
      <fill>
        <patternFill patternType="solid">
          <bgColor rgb="FFDBF3FF"/>
        </patternFill>
      </fill>
    </dxf>
    <dxf>
      <font>
        <color theme="0"/>
      </font>
      <fill>
        <patternFill patternType="solid">
          <bgColor rgb="FF0000FF"/>
        </patternFill>
      </fill>
    </dxf>
    <dxf>
      <font>
        <color theme="0"/>
      </font>
      <fill>
        <patternFill patternType="solid">
          <bgColor rgb="FF0000FF"/>
        </patternFill>
      </fill>
    </dxf>
    <dxf>
      <font>
        <color theme="0"/>
      </font>
      <fill>
        <patternFill patternType="solid">
          <bgColor theme="1"/>
        </patternFill>
      </fill>
    </dxf>
    <dxf>
      <fill>
        <patternFill patternType="solid">
          <bgColor rgb="FFFFFF00"/>
        </patternFill>
      </fill>
    </dxf>
    <dxf>
      <font>
        <color theme="0"/>
      </font>
      <fill>
        <patternFill patternType="solid">
          <bgColor rgb="FF0000FF"/>
        </patternFill>
      </fill>
    </dxf>
    <dxf>
      <font>
        <color theme="0"/>
      </font>
      <fill>
        <patternFill patternType="solid">
          <bgColor theme="1"/>
        </patternFill>
      </fill>
    </dxf>
    <dxf>
      <font>
        <color theme="1"/>
      </font>
      <fill>
        <patternFill patternType="solid">
          <bgColor theme="0"/>
        </patternFill>
      </fill>
    </dxf>
    <dxf>
      <font>
        <color theme="1"/>
      </font>
      <fill>
        <patternFill patternType="solid">
          <bgColor rgb="FFFFFF00"/>
        </patternFill>
      </fill>
    </dxf>
    <dxf>
      <font>
        <color theme="1"/>
      </font>
      <fill>
        <patternFill patternType="solid">
          <bgColor rgb="FFFFFF00"/>
        </patternFill>
      </fill>
    </dxf>
    <dxf>
      <font>
        <color theme="1"/>
      </font>
      <fill>
        <patternFill patternType="solid">
          <bgColor theme="0" tint="-0.14999847407452621"/>
        </patternFill>
      </fill>
    </dxf>
    <dxf>
      <font>
        <color theme="0"/>
      </font>
      <fill>
        <patternFill patternType="solid">
          <bgColor rgb="FF0000FF"/>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rgb="FFFF0000"/>
        </patternFill>
      </fill>
    </dxf>
    <dxf>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rgb="FFDBF3FF"/>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ont>
        <color theme="0"/>
      </font>
      <fill>
        <patternFill patternType="solid">
          <bgColor theme="1"/>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rgb="FFFF0000"/>
        </patternFill>
      </fill>
    </dxf>
    <dxf>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DBF3FF"/>
        </patternFill>
      </fill>
    </dxf>
    <dxf>
      <font>
        <color theme="1"/>
      </font>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ill>
        <patternFill patternType="solid">
          <bgColor rgb="FFFFFF00"/>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0"/>
      </font>
      <fill>
        <patternFill patternType="solid">
          <bgColor rgb="FF0000FF"/>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rgb="FFDBF3FF"/>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ill>
        <patternFill patternType="solid">
          <bgColor rgb="FFFFFF00"/>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0000FF"/>
        </patternFill>
      </fill>
    </dxf>
    <dxf>
      <fill>
        <patternFill patternType="solid">
          <bgColor rgb="FFFFFF0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DBF3FF"/>
        </patternFill>
      </fill>
    </dxf>
    <dxf>
      <font>
        <color theme="0"/>
      </font>
      <fill>
        <patternFill patternType="solid">
          <bgColor rgb="FFFF0000"/>
        </patternFill>
      </fill>
    </dxf>
    <dxf>
      <font>
        <color theme="1"/>
      </font>
      <fill>
        <patternFill patternType="solid">
          <bgColor rgb="FFFFFF00"/>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0"/>
      </font>
      <fill>
        <patternFill patternType="solid">
          <bgColor rgb="FF0000FF"/>
        </patternFill>
      </fill>
    </dxf>
    <dxf>
      <fill>
        <patternFill patternType="solid">
          <bgColor rgb="FFFFFF00"/>
        </patternFill>
      </fill>
    </dxf>
    <dxf>
      <font>
        <color theme="1"/>
      </font>
      <fill>
        <patternFill patternType="solid">
          <bgColor rgb="FFFFC000"/>
        </patternFill>
      </fill>
    </dxf>
    <dxf>
      <font>
        <color theme="0"/>
      </font>
      <fill>
        <patternFill patternType="solid">
          <bgColor rgb="FF0000FF"/>
        </patternFill>
      </fill>
    </dxf>
    <dxf>
      <font>
        <color theme="1"/>
      </font>
      <fill>
        <patternFill patternType="solid">
          <bgColor rgb="FFDBF3FF"/>
        </patternFill>
      </fill>
    </dxf>
    <dxf>
      <font>
        <color theme="0"/>
      </font>
      <fill>
        <patternFill patternType="solid">
          <bgColor rgb="FFFF0000"/>
        </patternFill>
      </fill>
    </dxf>
    <dxf>
      <font>
        <color theme="1"/>
      </font>
      <fill>
        <patternFill patternType="solid">
          <bgColor rgb="FFFFFF00"/>
        </patternFill>
      </fill>
    </dxf>
    <dxf>
      <font>
        <color theme="1"/>
      </font>
      <fill>
        <patternFill patternType="solid">
          <bgColor rgb="FFFFFF00"/>
        </patternFill>
      </fill>
    </dxf>
    <dxf>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1"/>
      </font>
      <fill>
        <patternFill patternType="solid">
          <bgColor theme="0" tint="-0.14999847407452621"/>
        </patternFill>
      </fill>
    </dxf>
    <dxf>
      <font>
        <color theme="0"/>
      </font>
      <fill>
        <patternFill patternType="solid">
          <bgColor theme="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DBF3FF"/>
        </patternFill>
      </fill>
    </dxf>
    <dxf>
      <fill>
        <patternFill patternType="solid">
          <bgColor rgb="FFFFFF00"/>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ill>
        <patternFill patternType="solid">
          <bgColor rgb="FFFFFF00"/>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0"/>
      </font>
      <fill>
        <patternFill patternType="solid">
          <bgColor rgb="FFFF0000"/>
        </patternFill>
      </fill>
    </dxf>
    <dxf>
      <font>
        <color theme="0"/>
      </font>
      <fill>
        <patternFill patternType="solid">
          <bgColor rgb="FFFF0000"/>
        </patternFill>
      </fill>
    </dxf>
    <dxf>
      <font>
        <color theme="0"/>
      </font>
      <fill>
        <patternFill patternType="solid">
          <bgColor rgb="FFFF0000"/>
        </patternFill>
      </fill>
    </dxf>
    <dxf>
      <font>
        <color theme="0"/>
      </font>
      <fill>
        <patternFill patternType="solid">
          <bgColor rgb="FFFF0000"/>
        </patternFill>
      </fill>
    </dxf>
    <dxf>
      <font>
        <color theme="0"/>
      </font>
      <fill>
        <patternFill patternType="solid">
          <bgColor rgb="FFFF0000"/>
        </patternFill>
      </fill>
    </dxf>
    <dxf>
      <font>
        <color theme="0"/>
      </font>
      <fill>
        <patternFill patternType="solid">
          <bgColor rgb="FFFF0000"/>
        </patternFill>
      </fill>
    </dxf>
    <dxf>
      <font>
        <color theme="1"/>
      </font>
      <fill>
        <patternFill patternType="solid">
          <bgColor theme="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rgb="FFDBF3FF"/>
        </patternFill>
      </fill>
    </dxf>
    <dxf>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FF0000"/>
        </patternFill>
      </fill>
    </dxf>
    <dxf>
      <font>
        <color theme="1"/>
      </font>
      <fill>
        <patternFill patternType="solid">
          <bgColor rgb="FFDBF3FF"/>
        </patternFill>
      </fill>
    </dxf>
    <dxf>
      <font>
        <color theme="0"/>
      </font>
      <fill>
        <patternFill patternType="solid">
          <bgColor rgb="FF0000FF"/>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C00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rgb="FFFFFF00"/>
        </patternFill>
      </fill>
    </dxf>
    <dxf>
      <font>
        <color theme="1"/>
      </font>
      <fill>
        <patternFill patternType="solid">
          <bgColor rgb="FFDBF3FF"/>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C000"/>
        </patternFill>
      </fill>
    </dxf>
    <dxf>
      <font>
        <color theme="0"/>
      </font>
      <fill>
        <patternFill patternType="solid">
          <bgColor rgb="FF0000FF"/>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FF00"/>
        </patternFill>
      </fill>
    </dxf>
    <dxf>
      <fill>
        <patternFill patternType="solid">
          <bgColor rgb="FFFFFF00"/>
        </patternFill>
      </fill>
    </dxf>
    <dxf>
      <font>
        <color theme="1"/>
      </font>
      <fill>
        <patternFill patternType="solid">
          <bgColor rgb="FFFFFF00"/>
        </patternFill>
      </fill>
    </dxf>
    <dxf>
      <font>
        <color theme="0"/>
      </font>
      <fill>
        <patternFill patternType="solid">
          <bgColor rgb="FFFF0000"/>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ill>
        <patternFill patternType="solid">
          <bgColor rgb="FFFFFF00"/>
        </patternFill>
      </fill>
    </dxf>
    <dxf>
      <font>
        <color theme="1"/>
      </font>
      <fill>
        <patternFill patternType="solid">
          <bgColor rgb="FFFFC00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rgb="FFDBF3FF"/>
        </patternFill>
      </fill>
    </dxf>
    <dxf>
      <font>
        <color theme="1"/>
      </font>
      <fill>
        <patternFill patternType="solid">
          <bgColor theme="0" tint="-0.14999847407452621"/>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0"/>
      </font>
      <fill>
        <patternFill patternType="solid">
          <bgColor rgb="FFFF0000"/>
        </patternFill>
      </fill>
    </dxf>
    <dxf>
      <font>
        <color theme="1"/>
      </font>
      <fill>
        <patternFill patternType="solid">
          <bgColor theme="0"/>
        </patternFill>
      </fill>
    </dxf>
    <dxf>
      <font>
        <color theme="1"/>
      </font>
      <fill>
        <patternFill patternType="solid">
          <bgColor rgb="FFFFFF00"/>
        </patternFill>
      </fill>
    </dxf>
    <dxf>
      <font>
        <color theme="0"/>
      </font>
      <fill>
        <patternFill patternType="solid">
          <bgColor rgb="FF0000FF"/>
        </patternFill>
      </fill>
    </dxf>
    <dxf>
      <fill>
        <patternFill patternType="solid">
          <bgColor rgb="FFFFFF00"/>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theme="0"/>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0"/>
      </font>
      <fill>
        <patternFill patternType="solid">
          <bgColor rgb="FF0000FF"/>
        </patternFill>
      </fill>
    </dxf>
    <dxf>
      <font>
        <color theme="0"/>
      </font>
      <fill>
        <patternFill patternType="solid">
          <bgColor theme="1"/>
        </patternFill>
      </fill>
    </dxf>
    <dxf>
      <fill>
        <patternFill patternType="solid">
          <bgColor rgb="FFFFFF00"/>
        </patternFill>
      </fill>
    </dxf>
    <dxf>
      <font>
        <color theme="1"/>
      </font>
      <fill>
        <patternFill patternType="solid">
          <bgColor rgb="FFFFFF00"/>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rgb="FFFF0000"/>
        </patternFill>
      </fill>
    </dxf>
    <dxf>
      <font>
        <color theme="0"/>
      </font>
      <fill>
        <patternFill patternType="solid">
          <bgColor rgb="FFFF0000"/>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theme="0"/>
        </patternFill>
      </fill>
    </dxf>
    <dxf>
      <font>
        <color theme="1"/>
      </font>
      <fill>
        <patternFill patternType="solid">
          <bgColor rgb="FFFFFF00"/>
        </patternFill>
      </fill>
    </dxf>
    <dxf>
      <fill>
        <patternFill patternType="solid">
          <bgColor rgb="FFFFFF00"/>
        </patternFill>
      </fill>
    </dxf>
    <dxf>
      <font>
        <color theme="0"/>
      </font>
      <fill>
        <patternFill patternType="solid">
          <bgColor theme="1"/>
        </patternFill>
      </fill>
    </dxf>
    <dxf>
      <font>
        <color theme="1"/>
      </font>
      <fill>
        <patternFill patternType="solid">
          <bgColor theme="0" tint="-0.14999847407452621"/>
        </patternFill>
      </fill>
    </dxf>
    <dxf>
      <font>
        <color theme="0"/>
      </font>
      <fill>
        <patternFill patternType="solid">
          <bgColor rgb="FF0000FF"/>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ill>
        <patternFill patternType="solid">
          <bgColor rgb="FFFFFF00"/>
        </patternFill>
      </fill>
    </dxf>
    <dxf>
      <font>
        <color theme="1"/>
      </font>
      <fill>
        <patternFill patternType="solid">
          <bgColor rgb="FFFFFF00"/>
        </patternFill>
      </fill>
    </dxf>
    <dxf>
      <font>
        <color theme="1"/>
      </font>
      <fill>
        <patternFill patternType="solid">
          <bgColor rgb="FFDBF3FF"/>
        </patternFill>
      </fill>
    </dxf>
    <dxf>
      <font>
        <color theme="1"/>
      </font>
      <fill>
        <patternFill patternType="solid">
          <bgColor rgb="FFFFC00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rgb="FFFF0000"/>
        </patternFill>
      </fill>
    </dxf>
    <dxf>
      <font>
        <color theme="1"/>
      </font>
      <fill>
        <patternFill patternType="solid">
          <bgColor rgb="FFDBF3FF"/>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FFC000"/>
        </patternFill>
      </fill>
    </dxf>
    <dxf>
      <font>
        <color theme="0"/>
      </font>
      <fill>
        <patternFill patternType="solid">
          <bgColor rgb="FFFF0000"/>
        </patternFill>
      </fill>
    </dxf>
    <dxf>
      <font>
        <color theme="1"/>
      </font>
      <fill>
        <patternFill patternType="solid">
          <bgColor rgb="FFDBF3FF"/>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theme="0" tint="-0.14999847407452621"/>
        </patternFill>
      </fill>
    </dxf>
    <dxf>
      <font>
        <color theme="1"/>
      </font>
      <fill>
        <patternFill patternType="solid">
          <bgColor rgb="FFFFC000"/>
        </patternFill>
      </fill>
    </dxf>
    <dxf>
      <font>
        <color theme="1"/>
      </font>
      <fill>
        <patternFill patternType="solid">
          <bgColor theme="0"/>
        </patternFill>
      </fill>
    </dxf>
    <dxf>
      <font>
        <color theme="0"/>
      </font>
      <fill>
        <patternFill patternType="solid">
          <bgColor rgb="FFFF0000"/>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DBF3FF"/>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rgb="FFFFFF00"/>
        </patternFill>
      </fill>
    </dxf>
    <dxf>
      <font>
        <color theme="1"/>
      </font>
      <fill>
        <patternFill patternType="solid">
          <bgColor rgb="FFDBF3FF"/>
        </patternFill>
      </fill>
    </dxf>
    <dxf>
      <font>
        <color theme="0"/>
      </font>
      <fill>
        <patternFill patternType="solid">
          <bgColor rgb="FF0000FF"/>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FFFF00"/>
        </patternFill>
      </fill>
    </dxf>
    <dxf>
      <font>
        <color theme="1"/>
      </font>
      <fill>
        <patternFill patternType="solid">
          <bgColor rgb="FFFFC000"/>
        </patternFill>
      </fill>
    </dxf>
    <dxf>
      <fill>
        <patternFill patternType="solid">
          <bgColor rgb="FFFFFF00"/>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0"/>
      </font>
      <fill>
        <patternFill patternType="solid">
          <bgColor rgb="FFFF00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FF0000"/>
        </patternFill>
      </fill>
    </dxf>
    <dxf>
      <font>
        <color theme="1"/>
      </font>
      <fill>
        <patternFill patternType="solid">
          <bgColor theme="0" tint="-0.14999847407452621"/>
        </patternFill>
      </fill>
    </dxf>
    <dxf>
      <font>
        <color theme="0"/>
      </font>
      <fill>
        <patternFill patternType="solid">
          <bgColor rgb="FF0000FF"/>
        </patternFill>
      </fill>
    </dxf>
    <dxf>
      <font>
        <color theme="0"/>
      </font>
      <fill>
        <patternFill patternType="solid">
          <bgColor theme="1"/>
        </patternFill>
      </fill>
    </dxf>
    <dxf>
      <font>
        <color theme="1"/>
      </font>
      <fill>
        <patternFill patternType="solid">
          <bgColor theme="0"/>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DBF3FF"/>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rgb="FFFFFF00"/>
        </patternFill>
      </fill>
    </dxf>
    <dxf>
      <font>
        <color theme="1"/>
      </font>
      <fill>
        <patternFill patternType="solid">
          <bgColor rgb="FFFFC000"/>
        </patternFill>
      </fill>
    </dxf>
    <dxf>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DBF3FF"/>
        </patternFill>
      </fill>
    </dxf>
    <dxf>
      <font>
        <color theme="1"/>
      </font>
      <fill>
        <patternFill patternType="solid">
          <bgColor theme="0" tint="-0.14999847407452621"/>
        </patternFill>
      </fill>
    </dxf>
    <dxf>
      <font>
        <color theme="0"/>
      </font>
      <fill>
        <patternFill patternType="solid">
          <bgColor rgb="FF0000FF"/>
        </patternFill>
      </fill>
    </dxf>
    <dxf>
      <font>
        <color theme="0"/>
      </font>
      <fill>
        <patternFill patternType="solid">
          <bgColor rgb="FF0000FF"/>
        </patternFill>
      </fill>
    </dxf>
    <dxf>
      <font>
        <color theme="1"/>
      </font>
      <fill>
        <patternFill patternType="solid">
          <bgColor theme="0"/>
        </patternFill>
      </fill>
    </dxf>
    <dxf>
      <font>
        <color theme="0"/>
      </font>
      <fill>
        <patternFill patternType="solid">
          <bgColor rgb="FFFF0000"/>
        </patternFill>
      </fill>
    </dxf>
    <dxf>
      <font>
        <color theme="0"/>
      </font>
      <fill>
        <patternFill patternType="solid">
          <bgColor theme="1"/>
        </patternFill>
      </fill>
    </dxf>
    <dxf>
      <font>
        <color theme="0"/>
      </font>
      <fill>
        <patternFill patternType="solid">
          <bgColor rgb="FFFF0000"/>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theme="0"/>
        </patternFill>
      </fill>
    </dxf>
    <dxf>
      <font>
        <color theme="1"/>
      </font>
      <fill>
        <patternFill patternType="solid">
          <bgColor theme="0" tint="-0.14999847407452621"/>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rgb="FFDBF3FF"/>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rgb="FFDBF3FF"/>
        </patternFill>
      </fill>
    </dxf>
    <dxf>
      <font>
        <color theme="0"/>
      </font>
      <fill>
        <patternFill patternType="solid">
          <bgColor rgb="FF0000FF"/>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0"/>
      </font>
      <fill>
        <patternFill patternType="solid">
          <bgColor rgb="FFFF0000"/>
        </patternFill>
      </fill>
    </dxf>
    <dxf>
      <font>
        <color theme="0"/>
      </font>
      <fill>
        <patternFill patternType="solid">
          <bgColor rgb="FFFF0000"/>
        </patternFill>
      </fill>
    </dxf>
    <dxf>
      <font>
        <color theme="1"/>
      </font>
      <fill>
        <patternFill patternType="solid">
          <bgColor theme="0" tint="-0.14999847407452621"/>
        </patternFill>
      </fill>
    </dxf>
    <dxf>
      <font>
        <color theme="0"/>
      </font>
      <fill>
        <patternFill patternType="solid">
          <bgColor theme="1"/>
        </patternFill>
      </fill>
    </dxf>
    <dxf>
      <fill>
        <patternFill patternType="solid">
          <bgColor rgb="FFFFFF00"/>
        </patternFill>
      </fill>
    </dxf>
    <dxf>
      <font>
        <color theme="1"/>
      </font>
      <fill>
        <patternFill patternType="solid">
          <bgColor rgb="FFFFFF00"/>
        </patternFill>
      </fill>
    </dxf>
    <dxf>
      <font>
        <color theme="0"/>
      </font>
      <fill>
        <patternFill patternType="solid">
          <bgColor theme="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theme="0"/>
        </patternFill>
      </fill>
    </dxf>
    <dxf>
      <font>
        <color theme="0"/>
      </font>
      <fill>
        <patternFill patternType="solid">
          <bgColor rgb="FFFF0000"/>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theme="0" tint="-0.14999847407452621"/>
        </patternFill>
      </fill>
    </dxf>
    <dxf>
      <font>
        <color theme="1"/>
      </font>
      <fill>
        <patternFill patternType="solid">
          <bgColor rgb="FFFFFF00"/>
        </patternFill>
      </fill>
    </dxf>
    <dxf>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rgb="FFFFFF00"/>
        </patternFill>
      </fill>
    </dxf>
    <dxf>
      <fill>
        <patternFill patternType="solid">
          <bgColor rgb="FFFFFF00"/>
        </patternFill>
      </fill>
    </dxf>
    <dxf>
      <font>
        <color theme="0"/>
      </font>
      <fill>
        <patternFill patternType="solid">
          <bgColor theme="1"/>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1"/>
      </font>
      <fill>
        <patternFill patternType="solid">
          <bgColor theme="0"/>
        </patternFill>
      </fill>
    </dxf>
    <dxf>
      <font>
        <color theme="0"/>
      </font>
      <fill>
        <patternFill patternType="solid">
          <bgColor rgb="FF0000FF"/>
        </patternFill>
      </fill>
    </dxf>
    <dxf>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rgb="FFFFFF00"/>
        </patternFill>
      </fill>
    </dxf>
    <dxf>
      <font>
        <color theme="1"/>
      </font>
      <fill>
        <patternFill patternType="solid">
          <bgColor theme="0" tint="-0.1499984740745262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ill>
        <patternFill patternType="solid">
          <bgColor rgb="FFFFFF00"/>
        </patternFill>
      </fill>
    </dxf>
    <dxf>
      <font>
        <color theme="1"/>
      </font>
      <fill>
        <patternFill patternType="solid">
          <bgColor rgb="FFFFFF00"/>
        </patternFill>
      </fill>
    </dxf>
    <dxf>
      <font>
        <color theme="1"/>
      </font>
      <fill>
        <patternFill patternType="solid">
          <bgColor theme="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ill>
        <patternFill patternType="solid">
          <bgColor rgb="FFFFFF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rgb="FFFFFF00"/>
        </patternFill>
      </fill>
    </dxf>
    <dxf>
      <fill>
        <patternFill patternType="solid">
          <bgColor rgb="FFFFFF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theme="1"/>
        </patternFill>
      </fill>
    </dxf>
    <dxf>
      <font>
        <color theme="1"/>
      </font>
      <fill>
        <patternFill patternType="solid">
          <bgColor theme="0" tint="-0.14999847407452621"/>
        </patternFill>
      </fill>
    </dxf>
    <dxf>
      <font>
        <color theme="0"/>
      </font>
      <fill>
        <patternFill patternType="solid">
          <bgColor rgb="FFFF0000"/>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ill>
        <patternFill patternType="solid">
          <bgColor rgb="FFFFFF00"/>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theme="0"/>
        </patternFill>
      </fill>
    </dxf>
    <dxf>
      <font>
        <color theme="0"/>
      </font>
      <fill>
        <patternFill patternType="solid">
          <bgColor theme="1"/>
        </patternFill>
      </fill>
    </dxf>
    <dxf>
      <font>
        <color theme="1"/>
      </font>
      <fill>
        <patternFill patternType="solid">
          <bgColor theme="0" tint="-0.14999847407452621"/>
        </patternFill>
      </fill>
    </dxf>
    <dxf>
      <font>
        <color theme="0"/>
      </font>
      <fill>
        <patternFill patternType="solid">
          <bgColor rgb="FFFF0000"/>
        </patternFill>
      </fill>
    </dxf>
    <dxf>
      <fill>
        <patternFill patternType="solid">
          <bgColor rgb="FFFFFF00"/>
        </patternFill>
      </fill>
    </dxf>
    <dxf>
      <font>
        <color theme="1"/>
      </font>
      <fill>
        <patternFill patternType="solid">
          <bgColor rgb="FFFFFF00"/>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theme="0" tint="-0.14999847407452621"/>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rgb="FFFFFF00"/>
        </patternFill>
      </fill>
    </dxf>
    <dxf>
      <font>
        <color theme="1"/>
      </font>
      <fill>
        <patternFill patternType="solid">
          <bgColor rgb="FFFFFF00"/>
        </patternFill>
      </fill>
    </dxf>
    <dxf>
      <font>
        <color theme="1"/>
      </font>
      <fill>
        <patternFill patternType="solid">
          <bgColor rgb="FFFFC000"/>
        </patternFill>
      </fill>
    </dxf>
    <dxf>
      <font>
        <color theme="0"/>
      </font>
      <fill>
        <patternFill patternType="solid">
          <bgColor rgb="FF0000FF"/>
        </patternFill>
      </fill>
    </dxf>
    <dxf>
      <font>
        <color theme="1"/>
      </font>
      <fill>
        <patternFill patternType="solid">
          <bgColor rgb="FFDBF3FF"/>
        </patternFill>
      </fill>
    </dxf>
    <dxf>
      <font>
        <color theme="0"/>
      </font>
      <fill>
        <patternFill patternType="solid">
          <bgColor rgb="FF0000FF"/>
        </patternFill>
      </fill>
    </dxf>
    <dxf>
      <font>
        <color theme="0"/>
      </font>
      <fill>
        <patternFill patternType="solid">
          <bgColor theme="1"/>
        </patternFill>
      </fill>
    </dxf>
    <dxf>
      <font>
        <color theme="1"/>
      </font>
      <fill>
        <patternFill patternType="solid">
          <bgColor rgb="FFDBF3FF"/>
        </patternFill>
      </fill>
    </dxf>
    <dxf>
      <font>
        <color theme="0"/>
      </font>
      <fill>
        <patternFill patternType="solid">
          <bgColor rgb="FFFF0000"/>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FF000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DBF3FF"/>
        </patternFill>
      </fill>
    </dxf>
    <dxf>
      <font>
        <color theme="0"/>
      </font>
      <fill>
        <patternFill patternType="solid">
          <bgColor rgb="FF0000FF"/>
        </patternFill>
      </fill>
    </dxf>
    <dxf>
      <font>
        <color theme="0"/>
      </font>
      <fill>
        <patternFill patternType="solid">
          <bgColor rgb="FF0000FF"/>
        </patternFill>
      </fill>
    </dxf>
    <dxf>
      <fill>
        <patternFill patternType="solid">
          <bgColor rgb="FFFFFF00"/>
        </patternFill>
      </fill>
    </dxf>
    <dxf>
      <font>
        <color theme="1"/>
      </font>
      <fill>
        <patternFill patternType="solid">
          <bgColor theme="0"/>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rgb="FFFF0000"/>
        </patternFill>
      </fill>
    </dxf>
    <dxf>
      <font>
        <color theme="1"/>
      </font>
      <fill>
        <patternFill patternType="solid">
          <bgColor rgb="FFFFFF00"/>
        </patternFill>
      </fill>
    </dxf>
    <dxf>
      <font>
        <color theme="1"/>
      </font>
      <fill>
        <patternFill patternType="solid">
          <bgColor rgb="FFDBF3FF"/>
        </patternFill>
      </fill>
    </dxf>
    <dxf>
      <fill>
        <patternFill patternType="solid">
          <bgColor rgb="FFFFFF00"/>
        </patternFill>
      </fill>
    </dxf>
    <dxf>
      <font>
        <color theme="0"/>
      </font>
      <fill>
        <patternFill patternType="solid">
          <bgColor rgb="FF0000FF"/>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tint="-0.14999847407452621"/>
        </patternFill>
      </fill>
    </dxf>
    <dxf>
      <font>
        <color theme="0"/>
      </font>
      <fill>
        <patternFill patternType="solid">
          <bgColor theme="1"/>
        </patternFill>
      </fill>
    </dxf>
    <dxf>
      <font>
        <color theme="0"/>
      </font>
      <fill>
        <patternFill patternType="solid">
          <bgColor rgb="FFFF0000"/>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rgb="FFDBF3FF"/>
        </patternFill>
      </fill>
    </dxf>
    <dxf>
      <font>
        <color theme="1"/>
      </font>
      <fill>
        <patternFill patternType="solid">
          <bgColor rgb="FFFFC000"/>
        </patternFill>
      </fill>
    </dxf>
    <dxf>
      <font>
        <color theme="1"/>
      </font>
      <fill>
        <patternFill patternType="solid">
          <bgColor rgb="FFFFFF00"/>
        </patternFill>
      </fill>
    </dxf>
    <dxf>
      <fill>
        <patternFill patternType="solid">
          <bgColor rgb="FFFFFF00"/>
        </patternFill>
      </fill>
    </dxf>
    <dxf>
      <font>
        <color theme="1"/>
      </font>
      <fill>
        <patternFill patternType="solid">
          <bgColor rgb="FFFFFF00"/>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FF00"/>
        </patternFill>
      </fill>
    </dxf>
    <dxf>
      <font>
        <color theme="0"/>
      </font>
      <fill>
        <patternFill patternType="solid">
          <bgColor rgb="FF0000FF"/>
        </patternFill>
      </fill>
    </dxf>
    <dxf>
      <font>
        <color theme="1"/>
      </font>
      <fill>
        <patternFill patternType="solid">
          <bgColor theme="0" tint="-0.14999847407452621"/>
        </patternFill>
      </fill>
    </dxf>
    <dxf>
      <font>
        <color theme="0"/>
      </font>
      <fill>
        <patternFill patternType="solid">
          <bgColor theme="1"/>
        </patternFill>
      </fill>
    </dxf>
    <dxf>
      <font>
        <color theme="1"/>
      </font>
      <fill>
        <patternFill patternType="solid">
          <bgColor theme="0"/>
        </patternFill>
      </fill>
    </dxf>
    <dxf>
      <font>
        <color theme="1"/>
      </font>
      <fill>
        <patternFill patternType="solid">
          <bgColor rgb="FFDBF3FF"/>
        </patternFill>
      </fill>
    </dxf>
    <dxf>
      <font>
        <color theme="0"/>
      </font>
      <fill>
        <patternFill patternType="solid">
          <bgColor rgb="FFFF0000"/>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0"/>
      </font>
      <fill>
        <patternFill patternType="solid">
          <bgColor rgb="FFFF0000"/>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1"/>
      </font>
      <fill>
        <patternFill patternType="solid">
          <bgColor rgb="FFFFFF00"/>
        </patternFill>
      </fill>
    </dxf>
    <dxf>
      <font>
        <color theme="1"/>
      </font>
      <fill>
        <patternFill patternType="solid">
          <bgColor rgb="FFFFC000"/>
        </patternFill>
      </fill>
    </dxf>
    <dxf>
      <font>
        <color theme="0"/>
      </font>
      <fill>
        <patternFill patternType="solid">
          <bgColor theme="1"/>
        </patternFill>
      </fill>
    </dxf>
    <dxf>
      <font>
        <color theme="0"/>
      </font>
      <fill>
        <patternFill patternType="solid">
          <bgColor rgb="FF0000FF"/>
        </patternFill>
      </fill>
    </dxf>
    <dxf>
      <font>
        <color theme="0"/>
      </font>
      <fill>
        <patternFill patternType="solid">
          <bgColor rgb="FF0000FF"/>
        </patternFill>
      </fill>
    </dxf>
    <dxf>
      <font>
        <color theme="0"/>
      </font>
      <fill>
        <patternFill patternType="solid">
          <bgColor rgb="FFFF0000"/>
        </patternFill>
      </fill>
    </dxf>
    <dxf>
      <font>
        <color theme="1"/>
      </font>
      <fill>
        <patternFill patternType="solid">
          <bgColor theme="0" tint="-0.14999847407452621"/>
        </patternFill>
      </fill>
    </dxf>
    <dxf>
      <font>
        <color theme="1"/>
      </font>
      <fill>
        <patternFill patternType="solid">
          <bgColor theme="0"/>
        </patternFill>
      </fill>
    </dxf>
    <dxf>
      <font>
        <color theme="1"/>
      </font>
      <fill>
        <patternFill patternType="solid">
          <bgColor rgb="FFFFFF00"/>
        </patternFill>
      </fill>
    </dxf>
    <dxf>
      <fill>
        <patternFill patternType="solid">
          <bgColor rgb="FFFFFF00"/>
        </patternFill>
      </fill>
    </dxf>
    <dxf>
      <font>
        <color theme="0"/>
      </font>
      <fill>
        <patternFill patternType="solid">
          <bgColor theme="1"/>
        </patternFill>
      </fill>
    </dxf>
    <dxf>
      <font>
        <color theme="0"/>
      </font>
      <fill>
        <patternFill patternType="solid">
          <bgColor rgb="FF0000FF"/>
        </patternFill>
      </fill>
    </dxf>
    <dxf>
      <font>
        <color theme="1"/>
      </font>
      <fill>
        <patternFill patternType="solid">
          <bgColor theme="0" tint="-0.14999847407452621"/>
        </patternFill>
      </fill>
    </dxf>
    <dxf>
      <font>
        <color theme="0"/>
      </font>
      <fill>
        <patternFill patternType="solid">
          <bgColor theme="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theme="0"/>
      </font>
      <fill>
        <patternFill patternType="solid">
          <bgColor rgb="FFFF0000"/>
        </patternFill>
      </fill>
    </dxf>
    <dxf>
      <font>
        <color theme="1"/>
      </font>
      <fill>
        <patternFill patternType="solid">
          <bgColor rgb="FFFFC000"/>
        </patternFill>
      </fill>
    </dxf>
    <dxf>
      <font>
        <color theme="0"/>
      </font>
      <fill>
        <patternFill patternType="solid">
          <bgColor rgb="FFFF0000"/>
        </patternFill>
      </fill>
    </dxf>
    <dxf>
      <font>
        <color theme="0"/>
      </font>
      <fill>
        <patternFill patternType="solid">
          <bgColor rgb="FF0000FF"/>
        </patternFill>
      </fill>
    </dxf>
    <dxf>
      <font>
        <color theme="1"/>
      </font>
      <fill>
        <patternFill patternType="solid">
          <bgColor rgb="FFFFFF00"/>
        </patternFill>
      </fill>
    </dxf>
    <dxf>
      <font>
        <color theme="1"/>
      </font>
      <fill>
        <patternFill patternType="solid">
          <bgColor rgb="FFFFFF00"/>
        </patternFill>
      </fill>
    </dxf>
    <dxf>
      <font>
        <color theme="1"/>
      </font>
      <fill>
        <patternFill patternType="solid">
          <bgColor rgb="FFDBF3FF"/>
        </patternFill>
      </fill>
    </dxf>
    <dxf>
      <font>
        <color theme="0"/>
      </font>
      <fill>
        <patternFill patternType="solid">
          <bgColor rgb="FFFF0000"/>
        </patternFill>
      </fill>
    </dxf>
    <dxf>
      <font>
        <color theme="0"/>
      </font>
      <fill>
        <patternFill patternType="solid">
          <bgColor rgb="FF0000FF"/>
        </patternFill>
      </fill>
    </dxf>
    <dxf>
      <font>
        <color theme="0"/>
      </font>
      <fill>
        <patternFill patternType="solid">
          <bgColor rgb="FFFF0000"/>
        </patternFill>
      </fill>
    </dxf>
    <dxf>
      <font>
        <color theme="0"/>
      </font>
      <fill>
        <patternFill patternType="solid">
          <bgColor theme="1"/>
        </patternFill>
      </fill>
    </dxf>
    <dxf>
      <font>
        <color theme="1"/>
      </font>
      <fill>
        <patternFill patternType="solid">
          <bgColor theme="0" tint="-0.14999847407452621"/>
        </patternFill>
      </fill>
    </dxf>
    <dxf>
      <font>
        <color theme="1"/>
      </font>
      <fill>
        <patternFill patternType="solid">
          <bgColor theme="0"/>
        </patternFill>
      </fill>
    </dxf>
    <dxf>
      <font>
        <color theme="0"/>
      </font>
      <fill>
        <patternFill patternType="solid">
          <bgColor rgb="FF0000FF"/>
        </patternFill>
      </fill>
    </dxf>
    <dxf>
      <font>
        <color theme="1"/>
      </font>
      <fill>
        <patternFill patternType="solid">
          <bgColor rgb="FFFFFF00"/>
        </patternFill>
      </fill>
    </dxf>
    <dxf>
      <fill>
        <patternFill patternType="solid">
          <bgColor rgb="FFFFFF00"/>
        </patternFill>
      </fill>
    </dxf>
    <dxf>
      <font>
        <color rgb="FF9C0006"/>
      </font>
      <fill>
        <patternFill>
          <bgColor rgb="FFFFC7CE"/>
        </patternFill>
      </fill>
    </dxf>
    <dxf>
      <fill>
        <patternFill>
          <bgColor rgb="FF00B050"/>
        </patternFill>
      </fill>
    </dxf>
    <dxf>
      <fill>
        <patternFill>
          <bgColor rgb="FF00B050"/>
        </patternFill>
      </fill>
    </dxf>
    <dxf>
      <fill>
        <patternFill>
          <bgColor rgb="FF00B05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solid">
          <fgColor auto="1"/>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solid">
          <fgColor auto="1"/>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solid">
          <fgColor auto="1"/>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solid">
          <fgColor auto="1"/>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solid">
          <fgColor auto="1"/>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solid">
          <fgColor auto="1"/>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solid">
          <fgColor auto="1"/>
          <bgColor rgb="FFFFC7CE"/>
        </patternFill>
      </fill>
    </dxf>
  </dxfs>
  <tableStyles count="0" defaultTableStyle="TableStyleMedium2" defaultPivotStyle="PivotStyleLight16"/>
  <colors>
    <mruColors>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r>
              <a:rPr lang="ja-JP" altLang="en-US"/>
              <a:t>生産性</a:t>
            </a:r>
            <a:r>
              <a:rPr lang="en-US" altLang="ja-JP"/>
              <a:t>(Productivity ) vs </a:t>
            </a:r>
            <a:r>
              <a:rPr lang="ja-JP" altLang="en-US"/>
              <a:t>品質</a:t>
            </a:r>
            <a:r>
              <a:rPr lang="en-US" altLang="ja-JP"/>
              <a:t>(Quality)</a:t>
            </a:r>
            <a:endParaRPr lang="en-US"/>
          </a:p>
        </c:rich>
      </c:tx>
      <c:overlay val="0"/>
      <c:spPr>
        <a:noFill/>
        <a:ln>
          <a:noFill/>
        </a:ln>
        <a:effectLst/>
      </c:spPr>
      <c:txPr>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195293659784139E-2"/>
          <c:y val="0.12270913768356753"/>
          <c:w val="0.8676052011592108"/>
          <c:h val="0.76255445147400913"/>
        </c:manualLayout>
      </c:layout>
      <c:scatterChart>
        <c:scatterStyle val="lineMarker"/>
        <c:varyColors val="0"/>
        <c:ser>
          <c:idx val="0"/>
          <c:order val="0"/>
          <c:tx>
            <c:strRef>
              <c:f>Summary!$I$80</c:f>
              <c:strCache>
                <c:ptCount val="1"/>
                <c:pt idx="0">
                  <c:v>Jr</c:v>
                </c:pt>
              </c:strCache>
            </c:strRef>
          </c:tx>
          <c:spPr>
            <a:ln w="25400" cap="rnd">
              <a:noFill/>
              <a:round/>
            </a:ln>
            <a:effectLst/>
          </c:spPr>
          <c:marker>
            <c:symbol val="circle"/>
            <c:size val="5"/>
            <c:spPr>
              <a:solidFill>
                <a:srgbClr val="FF0000"/>
              </a:solidFill>
              <a:ln w="9525">
                <a:solidFill>
                  <a:srgbClr val="FF0000"/>
                </a:solidFill>
              </a:ln>
              <a:effectLst/>
            </c:spPr>
          </c:marker>
          <c:xVal>
            <c:numRef>
              <c:f>Summary!$I$82:$I$178</c:f>
              <c:numCache>
                <c:formatCode>0.0%</c:formatCode>
                <c:ptCount val="97"/>
                <c:pt idx="0">
                  <c:v>0.87130309523926552</c:v>
                </c:pt>
                <c:pt idx="1">
                  <c:v>0.82273409656089214</c:v>
                </c:pt>
                <c:pt idx="2">
                  <c:v>0.75480896725216484</c:v>
                </c:pt>
                <c:pt idx="3">
                  <c:v>0.76787827991217816</c:v>
                </c:pt>
                <c:pt idx="4">
                  <c:v>0.89181330651918878</c:v>
                </c:pt>
                <c:pt idx="5">
                  <c:v>-1</c:v>
                </c:pt>
                <c:pt idx="6">
                  <c:v>-1</c:v>
                </c:pt>
                <c:pt idx="7">
                  <c:v>-1</c:v>
                </c:pt>
                <c:pt idx="8">
                  <c:v>0.69987179487179496</c:v>
                </c:pt>
                <c:pt idx="9">
                  <c:v>0.67295081967213111</c:v>
                </c:pt>
                <c:pt idx="10">
                  <c:v>0.67058823529411771</c:v>
                </c:pt>
                <c:pt idx="11">
                  <c:v>0.83513429522752514</c:v>
                </c:pt>
                <c:pt idx="12">
                  <c:v>0.90722981512922085</c:v>
                </c:pt>
                <c:pt idx="13">
                  <c:v>-1</c:v>
                </c:pt>
                <c:pt idx="14">
                  <c:v>0.70241699918833933</c:v>
                </c:pt>
                <c:pt idx="15">
                  <c:v>-1</c:v>
                </c:pt>
                <c:pt idx="16">
                  <c:v>-1</c:v>
                </c:pt>
                <c:pt idx="17">
                  <c:v>0.84773876699305717</c:v>
                </c:pt>
                <c:pt idx="18">
                  <c:v>1.0211769161710245</c:v>
                </c:pt>
                <c:pt idx="19">
                  <c:v>0.70211023539850725</c:v>
                </c:pt>
                <c:pt idx="20">
                  <c:v>-1</c:v>
                </c:pt>
                <c:pt idx="21">
                  <c:v>-1</c:v>
                </c:pt>
                <c:pt idx="22">
                  <c:v>0.74397217098897772</c:v>
                </c:pt>
                <c:pt idx="23">
                  <c:v>-1</c:v>
                </c:pt>
                <c:pt idx="24">
                  <c:v>0.77614911130180642</c:v>
                </c:pt>
                <c:pt idx="25">
                  <c:v>0.63376943646561357</c:v>
                </c:pt>
                <c:pt idx="26">
                  <c:v>0.64814483497901376</c:v>
                </c:pt>
                <c:pt idx="27">
                  <c:v>1.3133634734441186</c:v>
                </c:pt>
                <c:pt idx="28">
                  <c:v>-1</c:v>
                </c:pt>
                <c:pt idx="29">
                  <c:v>-1</c:v>
                </c:pt>
                <c:pt idx="30">
                  <c:v>0.82446345580750513</c:v>
                </c:pt>
                <c:pt idx="31">
                  <c:v>0.62007252326217843</c:v>
                </c:pt>
                <c:pt idx="32">
                  <c:v>-1</c:v>
                </c:pt>
                <c:pt idx="33">
                  <c:v>1.0515900786844183</c:v>
                </c:pt>
                <c:pt idx="34">
                  <c:v>-1</c:v>
                </c:pt>
                <c:pt idx="35">
                  <c:v>-1</c:v>
                </c:pt>
                <c:pt idx="36">
                  <c:v>-1</c:v>
                </c:pt>
                <c:pt idx="37">
                  <c:v>-1</c:v>
                </c:pt>
                <c:pt idx="38">
                  <c:v>0.68578086995536869</c:v>
                </c:pt>
                <c:pt idx="39">
                  <c:v>0.50652921465534517</c:v>
                </c:pt>
                <c:pt idx="40">
                  <c:v>0.55507814424735158</c:v>
                </c:pt>
                <c:pt idx="41">
                  <c:v>0.7027105621118267</c:v>
                </c:pt>
                <c:pt idx="42">
                  <c:v>0.53626086956521735</c:v>
                </c:pt>
                <c:pt idx="43">
                  <c:v>-1</c:v>
                </c:pt>
                <c:pt idx="44">
                  <c:v>-1</c:v>
                </c:pt>
                <c:pt idx="45">
                  <c:v>0.53883147853736091</c:v>
                </c:pt>
                <c:pt idx="46">
                  <c:v>1.1192900208467547</c:v>
                </c:pt>
                <c:pt idx="47">
                  <c:v>0.64697659009928477</c:v>
                </c:pt>
                <c:pt idx="48">
                  <c:v>0.54067080832351311</c:v>
                </c:pt>
                <c:pt idx="49">
                  <c:v>-1</c:v>
                </c:pt>
                <c:pt idx="50">
                  <c:v>-1</c:v>
                </c:pt>
                <c:pt idx="51">
                  <c:v>-1</c:v>
                </c:pt>
                <c:pt idx="52">
                  <c:v>0.60180921052631575</c:v>
                </c:pt>
                <c:pt idx="53">
                  <c:v>-1</c:v>
                </c:pt>
                <c:pt idx="54">
                  <c:v>-1</c:v>
                </c:pt>
                <c:pt idx="55">
                  <c:v>-1</c:v>
                </c:pt>
                <c:pt idx="56">
                  <c:v>0.64225064042101399</c:v>
                </c:pt>
                <c:pt idx="57">
                  <c:v>1.1748578321750618</c:v>
                </c:pt>
                <c:pt idx="58">
                  <c:v>-1</c:v>
                </c:pt>
                <c:pt idx="59">
                  <c:v>1.1060941317038879</c:v>
                </c:pt>
                <c:pt idx="60">
                  <c:v>-1</c:v>
                </c:pt>
                <c:pt idx="61">
                  <c:v>0.59741503341364388</c:v>
                </c:pt>
                <c:pt idx="62">
                  <c:v>-1</c:v>
                </c:pt>
                <c:pt idx="63">
                  <c:v>0.98462265834076701</c:v>
                </c:pt>
                <c:pt idx="64">
                  <c:v>0.6602669697249528</c:v>
                </c:pt>
                <c:pt idx="65">
                  <c:v>0.87951142478920252</c:v>
                </c:pt>
                <c:pt idx="66">
                  <c:v>-1</c:v>
                </c:pt>
                <c:pt idx="67">
                  <c:v>-1</c:v>
                </c:pt>
                <c:pt idx="68">
                  <c:v>-1</c:v>
                </c:pt>
                <c:pt idx="69">
                  <c:v>0.87757878997009431</c:v>
                </c:pt>
                <c:pt idx="70">
                  <c:v>-1</c:v>
                </c:pt>
                <c:pt idx="71">
                  <c:v>0</c:v>
                </c:pt>
                <c:pt idx="72">
                  <c:v>0.43516767408717871</c:v>
                </c:pt>
                <c:pt idx="73">
                  <c:v>0.56691332294780572</c:v>
                </c:pt>
                <c:pt idx="74">
                  <c:v>-1</c:v>
                </c:pt>
                <c:pt idx="75">
                  <c:v>-1</c:v>
                </c:pt>
                <c:pt idx="76">
                  <c:v>-1</c:v>
                </c:pt>
                <c:pt idx="77">
                  <c:v>1.0881597860134444</c:v>
                </c:pt>
                <c:pt idx="78">
                  <c:v>1.1523026315789473</c:v>
                </c:pt>
                <c:pt idx="79">
                  <c:v>-1</c:v>
                </c:pt>
                <c:pt idx="80">
                  <c:v>1.3650643500643502</c:v>
                </c:pt>
                <c:pt idx="81">
                  <c:v>0.87974048789222137</c:v>
                </c:pt>
                <c:pt idx="82">
                  <c:v>-1</c:v>
                </c:pt>
                <c:pt idx="83">
                  <c:v>1.1925416398732338</c:v>
                </c:pt>
                <c:pt idx="84">
                  <c:v>1.1669492373093273</c:v>
                </c:pt>
                <c:pt idx="85">
                  <c:v>2.3590806185487896</c:v>
                </c:pt>
                <c:pt idx="86">
                  <c:v>1.1062966059689223</c:v>
                </c:pt>
                <c:pt idx="87">
                  <c:v>0.66047758284600389</c:v>
                </c:pt>
                <c:pt idx="88">
                  <c:v>-1</c:v>
                </c:pt>
                <c:pt idx="89">
                  <c:v>1.1164186507936507</c:v>
                </c:pt>
                <c:pt idx="90">
                  <c:v>1.0625776397515527</c:v>
                </c:pt>
                <c:pt idx="91">
                  <c:v>-1</c:v>
                </c:pt>
                <c:pt idx="92">
                  <c:v>0.68978599554870734</c:v>
                </c:pt>
                <c:pt idx="93">
                  <c:v>-1</c:v>
                </c:pt>
                <c:pt idx="94">
                  <c:v>-1</c:v>
                </c:pt>
                <c:pt idx="95">
                  <c:v>0.70211535814252279</c:v>
                </c:pt>
                <c:pt idx="96">
                  <c:v>-1</c:v>
                </c:pt>
              </c:numCache>
            </c:numRef>
          </c:xVal>
          <c:yVal>
            <c:numRef>
              <c:f>Summary!$J$82:$J$178</c:f>
              <c:numCache>
                <c:formatCode>0</c:formatCode>
                <c:ptCount val="97"/>
                <c:pt idx="0">
                  <c:v>1.9211016972556842</c:v>
                </c:pt>
                <c:pt idx="1">
                  <c:v>12.786992985012787</c:v>
                </c:pt>
                <c:pt idx="2">
                  <c:v>4.1541236312512106</c:v>
                </c:pt>
                <c:pt idx="3">
                  <c:v>5.3528524708505278</c:v>
                </c:pt>
                <c:pt idx="4">
                  <c:v>4.8616331598014124</c:v>
                </c:pt>
                <c:pt idx="5">
                  <c:v>-1</c:v>
                </c:pt>
                <c:pt idx="6">
                  <c:v>-1</c:v>
                </c:pt>
                <c:pt idx="7">
                  <c:v>-1</c:v>
                </c:pt>
                <c:pt idx="8">
                  <c:v>1.0162601626016261</c:v>
                </c:pt>
                <c:pt idx="9">
                  <c:v>3.773584905660377</c:v>
                </c:pt>
                <c:pt idx="10">
                  <c:v>5.1387461459403907</c:v>
                </c:pt>
                <c:pt idx="11">
                  <c:v>6.4549086648763234</c:v>
                </c:pt>
                <c:pt idx="12">
                  <c:v>2.4226368584273503</c:v>
                </c:pt>
                <c:pt idx="13">
                  <c:v>-1</c:v>
                </c:pt>
                <c:pt idx="14">
                  <c:v>5.8191932669236994</c:v>
                </c:pt>
                <c:pt idx="15">
                  <c:v>-1</c:v>
                </c:pt>
                <c:pt idx="16">
                  <c:v>-1</c:v>
                </c:pt>
                <c:pt idx="17">
                  <c:v>14.443299253823183</c:v>
                </c:pt>
                <c:pt idx="18">
                  <c:v>6.389554180355173</c:v>
                </c:pt>
                <c:pt idx="19">
                  <c:v>4.6786029439435017</c:v>
                </c:pt>
                <c:pt idx="20">
                  <c:v>-1</c:v>
                </c:pt>
                <c:pt idx="21">
                  <c:v>-1</c:v>
                </c:pt>
                <c:pt idx="22">
                  <c:v>8.8593869154140812</c:v>
                </c:pt>
                <c:pt idx="23">
                  <c:v>-1</c:v>
                </c:pt>
                <c:pt idx="24">
                  <c:v>6.3735465384500207</c:v>
                </c:pt>
                <c:pt idx="25">
                  <c:v>2.1779865181139706</c:v>
                </c:pt>
                <c:pt idx="26">
                  <c:v>9.2192728882638662</c:v>
                </c:pt>
                <c:pt idx="27">
                  <c:v>9.006416425516246</c:v>
                </c:pt>
                <c:pt idx="28">
                  <c:v>5.4645412088873044</c:v>
                </c:pt>
                <c:pt idx="29">
                  <c:v>-1</c:v>
                </c:pt>
                <c:pt idx="30">
                  <c:v>12.913943078962006</c:v>
                </c:pt>
                <c:pt idx="31">
                  <c:v>8.3664921106899488</c:v>
                </c:pt>
                <c:pt idx="32">
                  <c:v>-1</c:v>
                </c:pt>
                <c:pt idx="33">
                  <c:v>7.449513336883288</c:v>
                </c:pt>
                <c:pt idx="34">
                  <c:v>-1</c:v>
                </c:pt>
                <c:pt idx="35">
                  <c:v>-1</c:v>
                </c:pt>
                <c:pt idx="36">
                  <c:v>-1</c:v>
                </c:pt>
                <c:pt idx="37">
                  <c:v>-1</c:v>
                </c:pt>
                <c:pt idx="38">
                  <c:v>4.9079361618981938</c:v>
                </c:pt>
                <c:pt idx="39">
                  <c:v>16.740855723482081</c:v>
                </c:pt>
                <c:pt idx="40">
                  <c:v>2.8866211888122537</c:v>
                </c:pt>
                <c:pt idx="41">
                  <c:v>5.3719552715472254</c:v>
                </c:pt>
                <c:pt idx="42">
                  <c:v>11.829440667698726</c:v>
                </c:pt>
                <c:pt idx="43">
                  <c:v>-1</c:v>
                </c:pt>
                <c:pt idx="44">
                  <c:v>-1</c:v>
                </c:pt>
                <c:pt idx="45">
                  <c:v>12.076601239402372</c:v>
                </c:pt>
                <c:pt idx="46">
                  <c:v>6.2021247613142281</c:v>
                </c:pt>
                <c:pt idx="47">
                  <c:v>7.4218966279465768</c:v>
                </c:pt>
                <c:pt idx="48">
                  <c:v>6.1302378546650704</c:v>
                </c:pt>
                <c:pt idx="49">
                  <c:v>-1</c:v>
                </c:pt>
                <c:pt idx="50">
                  <c:v>-1</c:v>
                </c:pt>
                <c:pt idx="51">
                  <c:v>0</c:v>
                </c:pt>
                <c:pt idx="52">
                  <c:v>16.949152542372882</c:v>
                </c:pt>
                <c:pt idx="53">
                  <c:v>0</c:v>
                </c:pt>
                <c:pt idx="54">
                  <c:v>-1</c:v>
                </c:pt>
                <c:pt idx="55">
                  <c:v>-1</c:v>
                </c:pt>
                <c:pt idx="56">
                  <c:v>20.434671475393408</c:v>
                </c:pt>
                <c:pt idx="57">
                  <c:v>7.3056754252736882</c:v>
                </c:pt>
                <c:pt idx="58">
                  <c:v>-1</c:v>
                </c:pt>
                <c:pt idx="59">
                  <c:v>21.79249659783401</c:v>
                </c:pt>
                <c:pt idx="60">
                  <c:v>-1</c:v>
                </c:pt>
                <c:pt idx="61">
                  <c:v>14.645838236612294</c:v>
                </c:pt>
                <c:pt idx="62">
                  <c:v>-1</c:v>
                </c:pt>
                <c:pt idx="63">
                  <c:v>17.179030707120596</c:v>
                </c:pt>
                <c:pt idx="64">
                  <c:v>26.918309947239656</c:v>
                </c:pt>
                <c:pt idx="65">
                  <c:v>49.56150094160234</c:v>
                </c:pt>
                <c:pt idx="66">
                  <c:v>-1</c:v>
                </c:pt>
                <c:pt idx="67">
                  <c:v>-1</c:v>
                </c:pt>
                <c:pt idx="68">
                  <c:v>-1</c:v>
                </c:pt>
                <c:pt idx="69">
                  <c:v>23.966916990756136</c:v>
                </c:pt>
                <c:pt idx="70">
                  <c:v>0</c:v>
                </c:pt>
                <c:pt idx="71">
                  <c:v>0</c:v>
                </c:pt>
                <c:pt idx="72">
                  <c:v>51.36507936507936</c:v>
                </c:pt>
                <c:pt idx="73">
                  <c:v>23.025287071287362</c:v>
                </c:pt>
                <c:pt idx="74">
                  <c:v>-1</c:v>
                </c:pt>
                <c:pt idx="75">
                  <c:v>-1</c:v>
                </c:pt>
                <c:pt idx="76">
                  <c:v>-1</c:v>
                </c:pt>
                <c:pt idx="77">
                  <c:v>7.1684040606367798</c:v>
                </c:pt>
                <c:pt idx="78">
                  <c:v>13.404825737265416</c:v>
                </c:pt>
                <c:pt idx="79">
                  <c:v>-1</c:v>
                </c:pt>
                <c:pt idx="80">
                  <c:v>14.193565205221059</c:v>
                </c:pt>
                <c:pt idx="81">
                  <c:v>22.917713274953897</c:v>
                </c:pt>
                <c:pt idx="82">
                  <c:v>-1</c:v>
                </c:pt>
                <c:pt idx="83">
                  <c:v>26.136183335336614</c:v>
                </c:pt>
                <c:pt idx="84">
                  <c:v>15.970453387671931</c:v>
                </c:pt>
                <c:pt idx="85">
                  <c:v>22.727272727272727</c:v>
                </c:pt>
                <c:pt idx="86">
                  <c:v>15.668332161192914</c:v>
                </c:pt>
                <c:pt idx="87">
                  <c:v>49.628422064093179</c:v>
                </c:pt>
                <c:pt idx="88">
                  <c:v>-1</c:v>
                </c:pt>
                <c:pt idx="89">
                  <c:v>25.891222061082125</c:v>
                </c:pt>
                <c:pt idx="90">
                  <c:v>15.201731896399366</c:v>
                </c:pt>
                <c:pt idx="91">
                  <c:v>-1</c:v>
                </c:pt>
                <c:pt idx="92">
                  <c:v>46.980108838312901</c:v>
                </c:pt>
                <c:pt idx="93">
                  <c:v>-1</c:v>
                </c:pt>
                <c:pt idx="94">
                  <c:v>0</c:v>
                </c:pt>
                <c:pt idx="95">
                  <c:v>24.544447262078471</c:v>
                </c:pt>
                <c:pt idx="96">
                  <c:v>-1</c:v>
                </c:pt>
              </c:numCache>
            </c:numRef>
          </c:yVal>
          <c:smooth val="0"/>
          <c:extLst>
            <c:ext xmlns:c16="http://schemas.microsoft.com/office/drawing/2014/chart" uri="{C3380CC4-5D6E-409C-BE32-E72D297353CC}">
              <c16:uniqueId val="{00000000-8936-42BB-8BF9-0D154AA001AC}"/>
            </c:ext>
          </c:extLst>
        </c:ser>
        <c:ser>
          <c:idx val="1"/>
          <c:order val="1"/>
          <c:tx>
            <c:strRef>
              <c:f>Summary!$K$80</c:f>
              <c:strCache>
                <c:ptCount val="1"/>
                <c:pt idx="0">
                  <c:v>Mid</c:v>
                </c:pt>
              </c:strCache>
            </c:strRef>
          </c:tx>
          <c:spPr>
            <a:ln w="25400" cap="rnd">
              <a:noFill/>
              <a:round/>
            </a:ln>
            <a:effectLst/>
          </c:spPr>
          <c:marker>
            <c:symbol val="square"/>
            <c:size val="5"/>
            <c:spPr>
              <a:solidFill>
                <a:srgbClr val="FFC000"/>
              </a:solidFill>
              <a:ln w="9525">
                <a:solidFill>
                  <a:srgbClr val="FFC000"/>
                </a:solidFill>
              </a:ln>
              <a:effectLst/>
            </c:spPr>
          </c:marker>
          <c:xVal>
            <c:numRef>
              <c:f>Summary!$K$82:$K$178</c:f>
              <c:numCache>
                <c:formatCode>0.0%</c:formatCode>
                <c:ptCount val="97"/>
                <c:pt idx="0">
                  <c:v>-1</c:v>
                </c:pt>
                <c:pt idx="1">
                  <c:v>-1</c:v>
                </c:pt>
                <c:pt idx="2">
                  <c:v>-1</c:v>
                </c:pt>
                <c:pt idx="3">
                  <c:v>-1</c:v>
                </c:pt>
                <c:pt idx="4">
                  <c:v>-1</c:v>
                </c:pt>
                <c:pt idx="5">
                  <c:v>0.75631747029817653</c:v>
                </c:pt>
                <c:pt idx="6">
                  <c:v>-1</c:v>
                </c:pt>
                <c:pt idx="7">
                  <c:v>0.78573725909791481</c:v>
                </c:pt>
                <c:pt idx="8">
                  <c:v>-1</c:v>
                </c:pt>
                <c:pt idx="9">
                  <c:v>-1</c:v>
                </c:pt>
                <c:pt idx="10">
                  <c:v>-1</c:v>
                </c:pt>
                <c:pt idx="11">
                  <c:v>-1</c:v>
                </c:pt>
                <c:pt idx="12">
                  <c:v>-1</c:v>
                </c:pt>
                <c:pt idx="13">
                  <c:v>-1</c:v>
                </c:pt>
                <c:pt idx="14">
                  <c:v>-1</c:v>
                </c:pt>
                <c:pt idx="15">
                  <c:v>0.77608406922090878</c:v>
                </c:pt>
                <c:pt idx="16">
                  <c:v>-1</c:v>
                </c:pt>
                <c:pt idx="17">
                  <c:v>-1</c:v>
                </c:pt>
                <c:pt idx="18">
                  <c:v>-1</c:v>
                </c:pt>
                <c:pt idx="19">
                  <c:v>-1</c:v>
                </c:pt>
                <c:pt idx="20">
                  <c:v>0.79171506727172591</c:v>
                </c:pt>
                <c:pt idx="21">
                  <c:v>0.73761557762359209</c:v>
                </c:pt>
                <c:pt idx="22">
                  <c:v>-1</c:v>
                </c:pt>
                <c:pt idx="23">
                  <c:v>-1</c:v>
                </c:pt>
                <c:pt idx="24">
                  <c:v>-1</c:v>
                </c:pt>
                <c:pt idx="25">
                  <c:v>-1</c:v>
                </c:pt>
                <c:pt idx="26">
                  <c:v>-1</c:v>
                </c:pt>
                <c:pt idx="27">
                  <c:v>-1</c:v>
                </c:pt>
                <c:pt idx="28">
                  <c:v>-1</c:v>
                </c:pt>
                <c:pt idx="29">
                  <c:v>-1</c:v>
                </c:pt>
                <c:pt idx="30">
                  <c:v>-1</c:v>
                </c:pt>
                <c:pt idx="31">
                  <c:v>-1</c:v>
                </c:pt>
                <c:pt idx="32">
                  <c:v>0.6690025571632161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0.49887788221777329</c:v>
                </c:pt>
                <c:pt idx="50">
                  <c:v>0.88742476408772297</c:v>
                </c:pt>
                <c:pt idx="51">
                  <c:v>-1</c:v>
                </c:pt>
                <c:pt idx="52">
                  <c:v>-1</c:v>
                </c:pt>
                <c:pt idx="53">
                  <c:v>-1</c:v>
                </c:pt>
                <c:pt idx="54">
                  <c:v>-1</c:v>
                </c:pt>
                <c:pt idx="55">
                  <c:v>1.0328260869565218</c:v>
                </c:pt>
                <c:pt idx="56">
                  <c:v>-1</c:v>
                </c:pt>
                <c:pt idx="57">
                  <c:v>-1</c:v>
                </c:pt>
                <c:pt idx="58">
                  <c:v>-1</c:v>
                </c:pt>
                <c:pt idx="59">
                  <c:v>-1</c:v>
                </c:pt>
                <c:pt idx="60">
                  <c:v>0.59741503341364388</c:v>
                </c:pt>
                <c:pt idx="61">
                  <c:v>-1</c:v>
                </c:pt>
                <c:pt idx="62">
                  <c:v>0.68850290420144633</c:v>
                </c:pt>
                <c:pt idx="63">
                  <c:v>-1</c:v>
                </c:pt>
                <c:pt idx="64">
                  <c:v>-1</c:v>
                </c:pt>
                <c:pt idx="65">
                  <c:v>-1</c:v>
                </c:pt>
                <c:pt idx="66">
                  <c:v>-1</c:v>
                </c:pt>
                <c:pt idx="67">
                  <c:v>0.86386029411764698</c:v>
                </c:pt>
                <c:pt idx="68">
                  <c:v>-1</c:v>
                </c:pt>
                <c:pt idx="69">
                  <c:v>-1</c:v>
                </c:pt>
                <c:pt idx="70">
                  <c:v>-1</c:v>
                </c:pt>
                <c:pt idx="71">
                  <c:v>-1</c:v>
                </c:pt>
                <c:pt idx="72">
                  <c:v>-1</c:v>
                </c:pt>
                <c:pt idx="73">
                  <c:v>-1</c:v>
                </c:pt>
                <c:pt idx="74">
                  <c:v>-1</c:v>
                </c:pt>
                <c:pt idx="75">
                  <c:v>1.1494379185629187</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0.714010444036971</c:v>
                </c:pt>
                <c:pt idx="92">
                  <c:v>-1</c:v>
                </c:pt>
                <c:pt idx="93">
                  <c:v>0.7568567026194144</c:v>
                </c:pt>
                <c:pt idx="94">
                  <c:v>-1</c:v>
                </c:pt>
                <c:pt idx="95">
                  <c:v>-1</c:v>
                </c:pt>
                <c:pt idx="96">
                  <c:v>0.99570494864612502</c:v>
                </c:pt>
              </c:numCache>
            </c:numRef>
          </c:xVal>
          <c:yVal>
            <c:numRef>
              <c:f>Summary!$L$82:$L$178</c:f>
              <c:numCache>
                <c:formatCode>0</c:formatCode>
                <c:ptCount val="97"/>
                <c:pt idx="0">
                  <c:v>-1</c:v>
                </c:pt>
                <c:pt idx="1">
                  <c:v>-1</c:v>
                </c:pt>
                <c:pt idx="2">
                  <c:v>-1</c:v>
                </c:pt>
                <c:pt idx="3">
                  <c:v>-1</c:v>
                </c:pt>
                <c:pt idx="4">
                  <c:v>-1</c:v>
                </c:pt>
                <c:pt idx="5">
                  <c:v>7.5119305279879516</c:v>
                </c:pt>
                <c:pt idx="6">
                  <c:v>-1</c:v>
                </c:pt>
                <c:pt idx="7">
                  <c:v>6.7609609061015705</c:v>
                </c:pt>
                <c:pt idx="8">
                  <c:v>-1</c:v>
                </c:pt>
                <c:pt idx="9">
                  <c:v>-1</c:v>
                </c:pt>
                <c:pt idx="10">
                  <c:v>-1</c:v>
                </c:pt>
                <c:pt idx="11">
                  <c:v>-1</c:v>
                </c:pt>
                <c:pt idx="12">
                  <c:v>-1</c:v>
                </c:pt>
                <c:pt idx="13">
                  <c:v>-1</c:v>
                </c:pt>
                <c:pt idx="14">
                  <c:v>-1</c:v>
                </c:pt>
                <c:pt idx="15">
                  <c:v>5.7154671690723156</c:v>
                </c:pt>
                <c:pt idx="16">
                  <c:v>-1</c:v>
                </c:pt>
                <c:pt idx="17">
                  <c:v>-1</c:v>
                </c:pt>
                <c:pt idx="18">
                  <c:v>-1</c:v>
                </c:pt>
                <c:pt idx="19">
                  <c:v>-1</c:v>
                </c:pt>
                <c:pt idx="20">
                  <c:v>3.4537593435035787</c:v>
                </c:pt>
                <c:pt idx="21">
                  <c:v>4.6047289159323741</c:v>
                </c:pt>
                <c:pt idx="22">
                  <c:v>-1</c:v>
                </c:pt>
                <c:pt idx="23">
                  <c:v>-1</c:v>
                </c:pt>
                <c:pt idx="24">
                  <c:v>-1</c:v>
                </c:pt>
                <c:pt idx="25">
                  <c:v>-1</c:v>
                </c:pt>
                <c:pt idx="26">
                  <c:v>-1</c:v>
                </c:pt>
                <c:pt idx="27">
                  <c:v>-1</c:v>
                </c:pt>
                <c:pt idx="28">
                  <c:v>-1</c:v>
                </c:pt>
                <c:pt idx="29">
                  <c:v>-1</c:v>
                </c:pt>
                <c:pt idx="30">
                  <c:v>-1</c:v>
                </c:pt>
                <c:pt idx="31">
                  <c:v>-1</c:v>
                </c:pt>
                <c:pt idx="32">
                  <c:v>12.434512434512436</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9.1671169654934594</c:v>
                </c:pt>
                <c:pt idx="50">
                  <c:v>4.4016285411537366</c:v>
                </c:pt>
                <c:pt idx="51">
                  <c:v>-1</c:v>
                </c:pt>
                <c:pt idx="52">
                  <c:v>-1</c:v>
                </c:pt>
                <c:pt idx="53">
                  <c:v>-1</c:v>
                </c:pt>
                <c:pt idx="54">
                  <c:v>-1</c:v>
                </c:pt>
                <c:pt idx="55">
                  <c:v>6.9845929564948221</c:v>
                </c:pt>
                <c:pt idx="56">
                  <c:v>-1</c:v>
                </c:pt>
                <c:pt idx="57">
                  <c:v>-1</c:v>
                </c:pt>
                <c:pt idx="58">
                  <c:v>-1</c:v>
                </c:pt>
                <c:pt idx="59">
                  <c:v>-1</c:v>
                </c:pt>
                <c:pt idx="60">
                  <c:v>14.645838236612294</c:v>
                </c:pt>
                <c:pt idx="61">
                  <c:v>-1</c:v>
                </c:pt>
                <c:pt idx="62">
                  <c:v>7.996119756709156</c:v>
                </c:pt>
                <c:pt idx="63">
                  <c:v>-1</c:v>
                </c:pt>
                <c:pt idx="64">
                  <c:v>-1</c:v>
                </c:pt>
                <c:pt idx="65">
                  <c:v>-1</c:v>
                </c:pt>
                <c:pt idx="66">
                  <c:v>-1</c:v>
                </c:pt>
                <c:pt idx="67">
                  <c:v>58.895251541634451</c:v>
                </c:pt>
                <c:pt idx="68">
                  <c:v>-1</c:v>
                </c:pt>
                <c:pt idx="69">
                  <c:v>-1</c:v>
                </c:pt>
                <c:pt idx="70">
                  <c:v>-1</c:v>
                </c:pt>
                <c:pt idx="71">
                  <c:v>-1</c:v>
                </c:pt>
                <c:pt idx="72">
                  <c:v>-1</c:v>
                </c:pt>
                <c:pt idx="73">
                  <c:v>-1</c:v>
                </c:pt>
                <c:pt idx="74">
                  <c:v>-1</c:v>
                </c:pt>
                <c:pt idx="75">
                  <c:v>20.166985947723202</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2.2421524663677133</c:v>
                </c:pt>
                <c:pt idx="92">
                  <c:v>-1</c:v>
                </c:pt>
                <c:pt idx="93">
                  <c:v>25.409530900967983</c:v>
                </c:pt>
                <c:pt idx="94">
                  <c:v>-1</c:v>
                </c:pt>
                <c:pt idx="95">
                  <c:v>-1</c:v>
                </c:pt>
                <c:pt idx="96">
                  <c:v>13.741829664908474</c:v>
                </c:pt>
              </c:numCache>
            </c:numRef>
          </c:yVal>
          <c:smooth val="0"/>
          <c:extLst>
            <c:ext xmlns:c16="http://schemas.microsoft.com/office/drawing/2014/chart" uri="{C3380CC4-5D6E-409C-BE32-E72D297353CC}">
              <c16:uniqueId val="{00000001-8936-42BB-8BF9-0D154AA001AC}"/>
            </c:ext>
          </c:extLst>
        </c:ser>
        <c:ser>
          <c:idx val="2"/>
          <c:order val="2"/>
          <c:tx>
            <c:strRef>
              <c:f>Summary!$M$80</c:f>
              <c:strCache>
                <c:ptCount val="1"/>
                <c:pt idx="0">
                  <c:v>Sr</c:v>
                </c:pt>
              </c:strCache>
            </c:strRef>
          </c:tx>
          <c:spPr>
            <a:ln w="25400" cap="rnd">
              <a:noFill/>
              <a:round/>
            </a:ln>
            <a:effectLst/>
          </c:spPr>
          <c:marker>
            <c:symbol val="triangle"/>
            <c:size val="5"/>
            <c:spPr>
              <a:solidFill>
                <a:srgbClr val="00B050"/>
              </a:solidFill>
              <a:ln w="9525">
                <a:solidFill>
                  <a:srgbClr val="00B050"/>
                </a:solidFill>
              </a:ln>
              <a:effectLst/>
            </c:spPr>
          </c:marker>
          <c:xVal>
            <c:numRef>
              <c:f>Summary!$M$82:$M$178</c:f>
              <c:numCache>
                <c:formatCode>0.0%</c:formatCode>
                <c:ptCount val="97"/>
                <c:pt idx="0">
                  <c:v>-1</c:v>
                </c:pt>
                <c:pt idx="1">
                  <c:v>-1</c:v>
                </c:pt>
                <c:pt idx="2">
                  <c:v>-1</c:v>
                </c:pt>
                <c:pt idx="3">
                  <c:v>-1</c:v>
                </c:pt>
                <c:pt idx="4">
                  <c:v>-1</c:v>
                </c:pt>
                <c:pt idx="5">
                  <c:v>-1</c:v>
                </c:pt>
                <c:pt idx="6">
                  <c:v>0.54939759036144575</c:v>
                </c:pt>
                <c:pt idx="7">
                  <c:v>-1</c:v>
                </c:pt>
                <c:pt idx="8">
                  <c:v>-1</c:v>
                </c:pt>
                <c:pt idx="9">
                  <c:v>-1</c:v>
                </c:pt>
                <c:pt idx="10">
                  <c:v>-1</c:v>
                </c:pt>
                <c:pt idx="11">
                  <c:v>-1</c:v>
                </c:pt>
                <c:pt idx="12">
                  <c:v>-1</c:v>
                </c:pt>
                <c:pt idx="13">
                  <c:v>-1</c:v>
                </c:pt>
                <c:pt idx="14">
                  <c:v>-1</c:v>
                </c:pt>
                <c:pt idx="15">
                  <c:v>-1</c:v>
                </c:pt>
                <c:pt idx="16">
                  <c:v>0.83009039105552773</c:v>
                </c:pt>
                <c:pt idx="17">
                  <c:v>-1</c:v>
                </c:pt>
                <c:pt idx="18">
                  <c:v>-1</c:v>
                </c:pt>
                <c:pt idx="19">
                  <c:v>-1</c:v>
                </c:pt>
                <c:pt idx="20">
                  <c:v>-1</c:v>
                </c:pt>
                <c:pt idx="21">
                  <c:v>-1</c:v>
                </c:pt>
                <c:pt idx="22">
                  <c:v>-1</c:v>
                </c:pt>
                <c:pt idx="23">
                  <c:v>0.7249028226483063</c:v>
                </c:pt>
                <c:pt idx="24">
                  <c:v>-1</c:v>
                </c:pt>
                <c:pt idx="25">
                  <c:v>-1</c:v>
                </c:pt>
                <c:pt idx="26">
                  <c:v>-1</c:v>
                </c:pt>
                <c:pt idx="27">
                  <c:v>-1</c:v>
                </c:pt>
                <c:pt idx="28">
                  <c:v>-1</c:v>
                </c:pt>
                <c:pt idx="29">
                  <c:v>1.081542473647737</c:v>
                </c:pt>
                <c:pt idx="30">
                  <c:v>-1</c:v>
                </c:pt>
                <c:pt idx="31">
                  <c:v>-1</c:v>
                </c:pt>
                <c:pt idx="32">
                  <c:v>-1</c:v>
                </c:pt>
                <c:pt idx="33">
                  <c:v>-1</c:v>
                </c:pt>
                <c:pt idx="34">
                  <c:v>-1</c:v>
                </c:pt>
                <c:pt idx="35">
                  <c:v>-1</c:v>
                </c:pt>
                <c:pt idx="36">
                  <c:v>0.67056060606060608</c:v>
                </c:pt>
                <c:pt idx="37">
                  <c:v>-1</c:v>
                </c:pt>
                <c:pt idx="38">
                  <c:v>-1</c:v>
                </c:pt>
                <c:pt idx="39">
                  <c:v>-1</c:v>
                </c:pt>
                <c:pt idx="40">
                  <c:v>-1</c:v>
                </c:pt>
                <c:pt idx="41">
                  <c:v>-1</c:v>
                </c:pt>
                <c:pt idx="42">
                  <c:v>-1</c:v>
                </c:pt>
                <c:pt idx="43">
                  <c:v>0.94210362052795404</c:v>
                </c:pt>
                <c:pt idx="44">
                  <c:v>0.81307049901015516</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0.54780181005068551</c:v>
                </c:pt>
                <c:pt idx="67">
                  <c:v>-1</c:v>
                </c:pt>
                <c:pt idx="68">
                  <c:v>-1</c:v>
                </c:pt>
                <c:pt idx="69">
                  <c:v>-1</c:v>
                </c:pt>
                <c:pt idx="70">
                  <c:v>-1</c:v>
                </c:pt>
                <c:pt idx="71">
                  <c:v>-1</c:v>
                </c:pt>
                <c:pt idx="72">
                  <c:v>-1</c:v>
                </c:pt>
                <c:pt idx="73">
                  <c:v>-1</c:v>
                </c:pt>
                <c:pt idx="74">
                  <c:v>-1</c:v>
                </c:pt>
                <c:pt idx="75">
                  <c:v>-1</c:v>
                </c:pt>
                <c:pt idx="76">
                  <c:v>2.8401685505852172</c:v>
                </c:pt>
                <c:pt idx="77">
                  <c:v>-1</c:v>
                </c:pt>
                <c:pt idx="78">
                  <c:v>-1</c:v>
                </c:pt>
                <c:pt idx="79">
                  <c:v>1.9696916971916969</c:v>
                </c:pt>
                <c:pt idx="80">
                  <c:v>-1</c:v>
                </c:pt>
                <c:pt idx="81">
                  <c:v>-1</c:v>
                </c:pt>
                <c:pt idx="82">
                  <c:v>-1</c:v>
                </c:pt>
                <c:pt idx="83">
                  <c:v>-1</c:v>
                </c:pt>
                <c:pt idx="84">
                  <c:v>-1</c:v>
                </c:pt>
                <c:pt idx="85">
                  <c:v>-1</c:v>
                </c:pt>
                <c:pt idx="86">
                  <c:v>-1</c:v>
                </c:pt>
                <c:pt idx="87">
                  <c:v>-1</c:v>
                </c:pt>
                <c:pt idx="88">
                  <c:v>0.80259259259259252</c:v>
                </c:pt>
                <c:pt idx="89">
                  <c:v>-1</c:v>
                </c:pt>
                <c:pt idx="90">
                  <c:v>-1</c:v>
                </c:pt>
                <c:pt idx="91">
                  <c:v>-1</c:v>
                </c:pt>
                <c:pt idx="92">
                  <c:v>-1</c:v>
                </c:pt>
                <c:pt idx="93">
                  <c:v>-1</c:v>
                </c:pt>
                <c:pt idx="94">
                  <c:v>-1</c:v>
                </c:pt>
                <c:pt idx="95">
                  <c:v>-1</c:v>
                </c:pt>
                <c:pt idx="96">
                  <c:v>-1</c:v>
                </c:pt>
              </c:numCache>
            </c:numRef>
          </c:xVal>
          <c:yVal>
            <c:numRef>
              <c:f>Summary!$N$82:$N$178</c:f>
              <c:numCache>
                <c:formatCode>0</c:formatCode>
                <c:ptCount val="97"/>
                <c:pt idx="0">
                  <c:v>-1</c:v>
                </c:pt>
                <c:pt idx="1">
                  <c:v>-1</c:v>
                </c:pt>
                <c:pt idx="2">
                  <c:v>-1</c:v>
                </c:pt>
                <c:pt idx="3">
                  <c:v>-1</c:v>
                </c:pt>
                <c:pt idx="4">
                  <c:v>-1</c:v>
                </c:pt>
                <c:pt idx="5">
                  <c:v>-1</c:v>
                </c:pt>
                <c:pt idx="6">
                  <c:v>0.7142857142857143</c:v>
                </c:pt>
                <c:pt idx="7">
                  <c:v>-1</c:v>
                </c:pt>
                <c:pt idx="8">
                  <c:v>-1</c:v>
                </c:pt>
                <c:pt idx="9">
                  <c:v>-1</c:v>
                </c:pt>
                <c:pt idx="10">
                  <c:v>-1</c:v>
                </c:pt>
                <c:pt idx="11">
                  <c:v>-1</c:v>
                </c:pt>
                <c:pt idx="12">
                  <c:v>-1</c:v>
                </c:pt>
                <c:pt idx="13">
                  <c:v>-1</c:v>
                </c:pt>
                <c:pt idx="14">
                  <c:v>-1</c:v>
                </c:pt>
                <c:pt idx="15">
                  <c:v>-1</c:v>
                </c:pt>
                <c:pt idx="16">
                  <c:v>8.0885022756039078</c:v>
                </c:pt>
                <c:pt idx="17">
                  <c:v>-1</c:v>
                </c:pt>
                <c:pt idx="18">
                  <c:v>-1</c:v>
                </c:pt>
                <c:pt idx="19">
                  <c:v>-1</c:v>
                </c:pt>
                <c:pt idx="20">
                  <c:v>-1</c:v>
                </c:pt>
                <c:pt idx="21">
                  <c:v>-1</c:v>
                </c:pt>
                <c:pt idx="22">
                  <c:v>-1</c:v>
                </c:pt>
                <c:pt idx="23">
                  <c:v>3.2115303871668637</c:v>
                </c:pt>
                <c:pt idx="24">
                  <c:v>-1</c:v>
                </c:pt>
                <c:pt idx="25">
                  <c:v>-1</c:v>
                </c:pt>
                <c:pt idx="26">
                  <c:v>-1</c:v>
                </c:pt>
                <c:pt idx="27">
                  <c:v>-1</c:v>
                </c:pt>
                <c:pt idx="28">
                  <c:v>-1</c:v>
                </c:pt>
                <c:pt idx="29">
                  <c:v>11.725249713655403</c:v>
                </c:pt>
                <c:pt idx="30">
                  <c:v>-1</c:v>
                </c:pt>
                <c:pt idx="31">
                  <c:v>-1</c:v>
                </c:pt>
                <c:pt idx="32">
                  <c:v>-1</c:v>
                </c:pt>
                <c:pt idx="33">
                  <c:v>-1</c:v>
                </c:pt>
                <c:pt idx="34">
                  <c:v>-1</c:v>
                </c:pt>
                <c:pt idx="35">
                  <c:v>-1</c:v>
                </c:pt>
                <c:pt idx="36">
                  <c:v>21.111742055253217</c:v>
                </c:pt>
                <c:pt idx="37">
                  <c:v>-1</c:v>
                </c:pt>
                <c:pt idx="38">
                  <c:v>-1</c:v>
                </c:pt>
                <c:pt idx="39">
                  <c:v>-1</c:v>
                </c:pt>
                <c:pt idx="40">
                  <c:v>-1</c:v>
                </c:pt>
                <c:pt idx="41">
                  <c:v>-1</c:v>
                </c:pt>
                <c:pt idx="42">
                  <c:v>-1</c:v>
                </c:pt>
                <c:pt idx="43">
                  <c:v>9.7583193941089981</c:v>
                </c:pt>
                <c:pt idx="44">
                  <c:v>10.189541913263136</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16.522213960405242</c:v>
                </c:pt>
                <c:pt idx="67">
                  <c:v>-1</c:v>
                </c:pt>
                <c:pt idx="68">
                  <c:v>-1</c:v>
                </c:pt>
                <c:pt idx="69">
                  <c:v>-1</c:v>
                </c:pt>
                <c:pt idx="70">
                  <c:v>-1</c:v>
                </c:pt>
                <c:pt idx="71">
                  <c:v>-1</c:v>
                </c:pt>
                <c:pt idx="72">
                  <c:v>-1</c:v>
                </c:pt>
                <c:pt idx="73">
                  <c:v>-1</c:v>
                </c:pt>
                <c:pt idx="74">
                  <c:v>0</c:v>
                </c:pt>
                <c:pt idx="75">
                  <c:v>-1</c:v>
                </c:pt>
                <c:pt idx="76">
                  <c:v>14.90670873877832</c:v>
                </c:pt>
                <c:pt idx="77">
                  <c:v>-1</c:v>
                </c:pt>
                <c:pt idx="78">
                  <c:v>-1</c:v>
                </c:pt>
                <c:pt idx="79">
                  <c:v>23.983792368158959</c:v>
                </c:pt>
                <c:pt idx="80">
                  <c:v>-1</c:v>
                </c:pt>
                <c:pt idx="81">
                  <c:v>-1</c:v>
                </c:pt>
                <c:pt idx="82">
                  <c:v>-1</c:v>
                </c:pt>
                <c:pt idx="83">
                  <c:v>-1</c:v>
                </c:pt>
                <c:pt idx="84">
                  <c:v>-1</c:v>
                </c:pt>
                <c:pt idx="85">
                  <c:v>-1</c:v>
                </c:pt>
                <c:pt idx="86">
                  <c:v>-1</c:v>
                </c:pt>
                <c:pt idx="87">
                  <c:v>-1</c:v>
                </c:pt>
                <c:pt idx="88">
                  <c:v>0</c:v>
                </c:pt>
                <c:pt idx="89">
                  <c:v>-1</c:v>
                </c:pt>
                <c:pt idx="90">
                  <c:v>-1</c:v>
                </c:pt>
                <c:pt idx="91">
                  <c:v>-1</c:v>
                </c:pt>
                <c:pt idx="92">
                  <c:v>-1</c:v>
                </c:pt>
                <c:pt idx="93">
                  <c:v>-1</c:v>
                </c:pt>
                <c:pt idx="94">
                  <c:v>-1</c:v>
                </c:pt>
                <c:pt idx="95">
                  <c:v>-1</c:v>
                </c:pt>
                <c:pt idx="96">
                  <c:v>-1</c:v>
                </c:pt>
              </c:numCache>
            </c:numRef>
          </c:yVal>
          <c:smooth val="0"/>
          <c:extLst>
            <c:ext xmlns:c16="http://schemas.microsoft.com/office/drawing/2014/chart" uri="{C3380CC4-5D6E-409C-BE32-E72D297353CC}">
              <c16:uniqueId val="{00000002-8936-42BB-8BF9-0D154AA001AC}"/>
            </c:ext>
          </c:extLst>
        </c:ser>
        <c:ser>
          <c:idx val="3"/>
          <c:order val="3"/>
          <c:tx>
            <c:strRef>
              <c:f>Summary!$O$80</c:f>
              <c:strCache>
                <c:ptCount val="1"/>
                <c:pt idx="0">
                  <c:v>TL</c:v>
                </c:pt>
              </c:strCache>
            </c:strRef>
          </c:tx>
          <c:spPr>
            <a:ln w="25400" cap="rnd">
              <a:noFill/>
              <a:round/>
            </a:ln>
            <a:effectLst/>
          </c:spPr>
          <c:marker>
            <c:symbol val="diamond"/>
            <c:size val="5"/>
            <c:spPr>
              <a:solidFill>
                <a:srgbClr val="0070C0"/>
              </a:solidFill>
              <a:ln w="9525">
                <a:solidFill>
                  <a:srgbClr val="0070C0"/>
                </a:solidFill>
              </a:ln>
              <a:effectLst/>
            </c:spPr>
          </c:marker>
          <c:xVal>
            <c:numRef>
              <c:f>Summary!$O$82:$O$178</c:f>
              <c:numCache>
                <c:formatCode>0.0%</c:formatCode>
                <c:ptCount val="97"/>
                <c:pt idx="0">
                  <c:v>-1</c:v>
                </c:pt>
                <c:pt idx="1">
                  <c:v>-1</c:v>
                </c:pt>
                <c:pt idx="2">
                  <c:v>-1</c:v>
                </c:pt>
                <c:pt idx="3">
                  <c:v>-1</c:v>
                </c:pt>
                <c:pt idx="4">
                  <c:v>-1</c:v>
                </c:pt>
                <c:pt idx="5">
                  <c:v>-1</c:v>
                </c:pt>
                <c:pt idx="6">
                  <c:v>-1</c:v>
                </c:pt>
                <c:pt idx="7">
                  <c:v>-1</c:v>
                </c:pt>
                <c:pt idx="8">
                  <c:v>-1</c:v>
                </c:pt>
                <c:pt idx="9">
                  <c:v>-1</c:v>
                </c:pt>
                <c:pt idx="10">
                  <c:v>-1</c:v>
                </c:pt>
                <c:pt idx="11">
                  <c:v>-1</c:v>
                </c:pt>
                <c:pt idx="12">
                  <c:v>-1</c:v>
                </c:pt>
                <c:pt idx="13">
                  <c:v>1.2695430195227355</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0.54701388888888891</c:v>
                </c:pt>
                <c:pt idx="35">
                  <c:v>0.17674418604651163</c:v>
                </c:pt>
                <c:pt idx="36">
                  <c:v>-1</c:v>
                </c:pt>
                <c:pt idx="37">
                  <c:v>0.54623376623376629</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0.56572362278244637</c:v>
                </c:pt>
                <c:pt idx="55">
                  <c:v>-1</c:v>
                </c:pt>
                <c:pt idx="56">
                  <c:v>-1</c:v>
                </c:pt>
                <c:pt idx="57">
                  <c:v>-1</c:v>
                </c:pt>
                <c:pt idx="58">
                  <c:v>1.148235294117647</c:v>
                </c:pt>
                <c:pt idx="59">
                  <c:v>-1</c:v>
                </c:pt>
                <c:pt idx="60">
                  <c:v>-1</c:v>
                </c:pt>
                <c:pt idx="61">
                  <c:v>-1</c:v>
                </c:pt>
                <c:pt idx="62">
                  <c:v>-1</c:v>
                </c:pt>
                <c:pt idx="63">
                  <c:v>-1</c:v>
                </c:pt>
                <c:pt idx="64">
                  <c:v>-1</c:v>
                </c:pt>
                <c:pt idx="65">
                  <c:v>-1</c:v>
                </c:pt>
                <c:pt idx="66">
                  <c:v>-1</c:v>
                </c:pt>
                <c:pt idx="67">
                  <c:v>-1</c:v>
                </c:pt>
                <c:pt idx="68">
                  <c:v>0.70923959985908236</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1.0666666666666667</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numCache>
            </c:numRef>
          </c:xVal>
          <c:yVal>
            <c:numRef>
              <c:f>Summary!$P$82:$P$178</c:f>
              <c:numCache>
                <c:formatCode>0</c:formatCode>
                <c:ptCount val="97"/>
                <c:pt idx="0">
                  <c:v>-1</c:v>
                </c:pt>
                <c:pt idx="1">
                  <c:v>-1</c:v>
                </c:pt>
                <c:pt idx="2">
                  <c:v>-1</c:v>
                </c:pt>
                <c:pt idx="3">
                  <c:v>-1</c:v>
                </c:pt>
                <c:pt idx="4">
                  <c:v>-1</c:v>
                </c:pt>
                <c:pt idx="5">
                  <c:v>-1</c:v>
                </c:pt>
                <c:pt idx="6">
                  <c:v>-1</c:v>
                </c:pt>
                <c:pt idx="7">
                  <c:v>-1</c:v>
                </c:pt>
                <c:pt idx="8">
                  <c:v>-1</c:v>
                </c:pt>
                <c:pt idx="9">
                  <c:v>-1</c:v>
                </c:pt>
                <c:pt idx="10">
                  <c:v>-1</c:v>
                </c:pt>
                <c:pt idx="11">
                  <c:v>-1</c:v>
                </c:pt>
                <c:pt idx="12">
                  <c:v>-1</c:v>
                </c:pt>
                <c:pt idx="13">
                  <c:v>3.2063377858332829</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8.7620141944269854</c:v>
                </c:pt>
                <c:pt idx="35">
                  <c:v>2.6097271648873073</c:v>
                </c:pt>
                <c:pt idx="36">
                  <c:v>-1</c:v>
                </c:pt>
                <c:pt idx="37">
                  <c:v>46.663445017182134</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4.166666666666667</c:v>
                </c:pt>
                <c:pt idx="55">
                  <c:v>-1</c:v>
                </c:pt>
                <c:pt idx="56">
                  <c:v>-1</c:v>
                </c:pt>
                <c:pt idx="57">
                  <c:v>-1</c:v>
                </c:pt>
                <c:pt idx="58">
                  <c:v>27.148309729707517</c:v>
                </c:pt>
                <c:pt idx="59">
                  <c:v>-1</c:v>
                </c:pt>
                <c:pt idx="60">
                  <c:v>-1</c:v>
                </c:pt>
                <c:pt idx="61">
                  <c:v>-1</c:v>
                </c:pt>
                <c:pt idx="62">
                  <c:v>-1</c:v>
                </c:pt>
                <c:pt idx="63">
                  <c:v>-1</c:v>
                </c:pt>
                <c:pt idx="64">
                  <c:v>-1</c:v>
                </c:pt>
                <c:pt idx="65">
                  <c:v>-1</c:v>
                </c:pt>
                <c:pt idx="66">
                  <c:v>-1</c:v>
                </c:pt>
                <c:pt idx="67">
                  <c:v>-1</c:v>
                </c:pt>
                <c:pt idx="68">
                  <c:v>22.003634585239702</c:v>
                </c:pt>
                <c:pt idx="69">
                  <c:v>-1</c:v>
                </c:pt>
                <c:pt idx="70">
                  <c:v>-1</c:v>
                </c:pt>
                <c:pt idx="71">
                  <c:v>-1</c:v>
                </c:pt>
                <c:pt idx="72">
                  <c:v>-1</c:v>
                </c:pt>
                <c:pt idx="73">
                  <c:v>-1</c:v>
                </c:pt>
                <c:pt idx="74">
                  <c:v>-1</c:v>
                </c:pt>
                <c:pt idx="75">
                  <c:v>-1</c:v>
                </c:pt>
                <c:pt idx="76">
                  <c:v>-1</c:v>
                </c:pt>
                <c:pt idx="77">
                  <c:v>-1</c:v>
                </c:pt>
                <c:pt idx="78">
                  <c:v>-1</c:v>
                </c:pt>
                <c:pt idx="79">
                  <c:v>-1</c:v>
                </c:pt>
                <c:pt idx="80">
                  <c:v>-1</c:v>
                </c:pt>
                <c:pt idx="81">
                  <c:v>-1</c:v>
                </c:pt>
                <c:pt idx="82">
                  <c:v>2</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numCache>
            </c:numRef>
          </c:yVal>
          <c:smooth val="0"/>
          <c:extLst>
            <c:ext xmlns:c16="http://schemas.microsoft.com/office/drawing/2014/chart" uri="{C3380CC4-5D6E-409C-BE32-E72D297353CC}">
              <c16:uniqueId val="{00000003-8936-42BB-8BF9-0D154AA001AC}"/>
            </c:ext>
          </c:extLst>
        </c:ser>
        <c:dLbls>
          <c:showLegendKey val="0"/>
          <c:showVal val="0"/>
          <c:showCatName val="0"/>
          <c:showSerName val="0"/>
          <c:showPercent val="0"/>
          <c:showBubbleSize val="0"/>
        </c:dLbls>
        <c:axId val="253081631"/>
        <c:axId val="2080177807"/>
      </c:scatterChart>
      <c:valAx>
        <c:axId val="253081631"/>
        <c:scaling>
          <c:orientation val="minMax"/>
          <c:min val="0"/>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r>
                  <a:rPr lang="ja-JP" altLang="en-US"/>
                  <a:t>生産性</a:t>
                </a:r>
                <a:r>
                  <a:rPr lang="en-US" altLang="ja-JP"/>
                  <a:t>(Productivity) [</a:t>
                </a:r>
                <a:r>
                  <a:rPr lang="ja-JP" altLang="en-US"/>
                  <a:t>実績</a:t>
                </a:r>
                <a:r>
                  <a:rPr lang="en-US" altLang="ja-JP"/>
                  <a:t>/</a:t>
                </a:r>
                <a:r>
                  <a:rPr lang="ja-JP" altLang="en-US"/>
                  <a:t>標準</a:t>
                </a:r>
                <a:r>
                  <a:rPr lang="en-US" altLang="ja-JP"/>
                  <a:t>]</a:t>
                </a:r>
                <a:endParaRPr lang="en-US"/>
              </a:p>
            </c:rich>
          </c:tx>
          <c:layout>
            <c:manualLayout>
              <c:xMode val="edge"/>
              <c:yMode val="edge"/>
              <c:x val="0.39474991486611399"/>
              <c:y val="0.94342609751522044"/>
            </c:manualLayout>
          </c:layout>
          <c:overlay val="0"/>
          <c:spPr>
            <a:noFill/>
            <a:ln>
              <a:noFill/>
            </a:ln>
            <a:effectLst/>
          </c:spPr>
          <c:txPr>
            <a:bodyPr rot="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high"/>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2080177807"/>
        <c:crosses val="autoZero"/>
        <c:crossBetween val="midCat"/>
        <c:majorUnit val="0.60000000000000009"/>
      </c:valAx>
      <c:valAx>
        <c:axId val="2080177807"/>
        <c:scaling>
          <c:orientation val="maxMin"/>
          <c:max val="56"/>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r>
                  <a:rPr lang="ja-JP" altLang="en-US"/>
                  <a:t>品質</a:t>
                </a:r>
                <a:r>
                  <a:rPr lang="en-US" altLang="ja-JP"/>
                  <a:t>(Quality)</a:t>
                </a:r>
                <a:endParaRPr lang="en-US"/>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253081631"/>
        <c:crosses val="autoZero"/>
        <c:crossBetween val="midCat"/>
        <c:majorUnit val="8"/>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r>
              <a:rPr lang="ja-JP" altLang="en-US"/>
              <a:t>生産性</a:t>
            </a:r>
            <a:r>
              <a:rPr lang="en-US" altLang="ja-JP"/>
              <a:t>(Productivity ) vs </a:t>
            </a:r>
            <a:r>
              <a:rPr lang="ja-JP" altLang="en-US"/>
              <a:t>品質</a:t>
            </a:r>
            <a:r>
              <a:rPr lang="en-US" altLang="ja-JP"/>
              <a:t>(Quality)</a:t>
            </a:r>
            <a:endParaRPr lang="en-US"/>
          </a:p>
        </c:rich>
      </c:tx>
      <c:overlay val="0"/>
      <c:spPr>
        <a:noFill/>
        <a:ln>
          <a:noFill/>
        </a:ln>
        <a:effectLst/>
      </c:spPr>
      <c:txPr>
        <a:bodyPr rot="0" spcFirstLastPara="1" vertOverflow="ellipsis" vert="horz" wrap="square" anchor="ctr" anchorCtr="1"/>
        <a:lstStyle/>
        <a:p>
          <a:pPr>
            <a:defRPr lang="ja-JP"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195293659784139E-2"/>
          <c:y val="0.12270913768356753"/>
          <c:w val="0.8676052011592108"/>
          <c:h val="0.76255445147400913"/>
        </c:manualLayout>
      </c:layout>
      <c:scatterChart>
        <c:scatterStyle val="lineMarker"/>
        <c:varyColors val="0"/>
        <c:ser>
          <c:idx val="0"/>
          <c:order val="0"/>
          <c:tx>
            <c:strRef>
              <c:f>Summary_TransferPRJ!$I$35</c:f>
              <c:strCache>
                <c:ptCount val="1"/>
                <c:pt idx="0">
                  <c:v>Jr</c:v>
                </c:pt>
              </c:strCache>
            </c:strRef>
          </c:tx>
          <c:spPr>
            <a:ln w="25400" cap="rnd">
              <a:noFill/>
              <a:round/>
            </a:ln>
            <a:effectLst/>
          </c:spPr>
          <c:marker>
            <c:symbol val="circle"/>
            <c:size val="5"/>
            <c:spPr>
              <a:solidFill>
                <a:srgbClr val="FF0000"/>
              </a:solidFill>
              <a:ln w="9525">
                <a:solidFill>
                  <a:srgbClr val="FF0000"/>
                </a:solidFill>
              </a:ln>
              <a:effectLst/>
            </c:spPr>
          </c:marker>
          <c:xVal>
            <c:numRef>
              <c:f>Summary_TransferPRJ!$I$37:$I$62</c:f>
              <c:numCache>
                <c:formatCode>0.0%</c:formatCode>
                <c:ptCount val="2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0.7657149159084643</c:v>
                </c:pt>
                <c:pt idx="18">
                  <c:v>0.85951553324188412</c:v>
                </c:pt>
                <c:pt idx="19">
                  <c:v>0.73304519186811878</c:v>
                </c:pt>
                <c:pt idx="20">
                  <c:v>1.1112425789845144</c:v>
                </c:pt>
                <c:pt idx="21">
                  <c:v>0.78671681626121948</c:v>
                </c:pt>
                <c:pt idx="22">
                  <c:v>-1</c:v>
                </c:pt>
                <c:pt idx="23">
                  <c:v>-1</c:v>
                </c:pt>
                <c:pt idx="24">
                  <c:v>-1</c:v>
                </c:pt>
                <c:pt idx="25">
                  <c:v>-1</c:v>
                </c:pt>
              </c:numCache>
            </c:numRef>
          </c:xVal>
          <c:yVal>
            <c:numRef>
              <c:f>Summary_TransferPRJ!$J$37:$J$62</c:f>
              <c:numCache>
                <c:formatCode>0.0</c:formatCode>
                <c:ptCount val="2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5.6542294914387945</c:v>
                </c:pt>
                <c:pt idx="18">
                  <c:v>2.0576131687242798</c:v>
                </c:pt>
                <c:pt idx="19">
                  <c:v>5.3473545982123953</c:v>
                </c:pt>
                <c:pt idx="20">
                  <c:v>19.13489221262552</c:v>
                </c:pt>
                <c:pt idx="21">
                  <c:v>14.620662944009318</c:v>
                </c:pt>
                <c:pt idx="22">
                  <c:v>-1</c:v>
                </c:pt>
                <c:pt idx="23">
                  <c:v>-1</c:v>
                </c:pt>
                <c:pt idx="24">
                  <c:v>-1</c:v>
                </c:pt>
                <c:pt idx="25">
                  <c:v>-1</c:v>
                </c:pt>
              </c:numCache>
            </c:numRef>
          </c:yVal>
          <c:smooth val="0"/>
          <c:extLst>
            <c:ext xmlns:c16="http://schemas.microsoft.com/office/drawing/2014/chart" uri="{C3380CC4-5D6E-409C-BE32-E72D297353CC}">
              <c16:uniqueId val="{00000000-7828-47E7-9506-9B0BA2560B0C}"/>
            </c:ext>
          </c:extLst>
        </c:ser>
        <c:ser>
          <c:idx val="1"/>
          <c:order val="1"/>
          <c:tx>
            <c:strRef>
              <c:f>Summary_TransferPRJ!$K$35</c:f>
              <c:strCache>
                <c:ptCount val="1"/>
                <c:pt idx="0">
                  <c:v>Mid</c:v>
                </c:pt>
              </c:strCache>
            </c:strRef>
          </c:tx>
          <c:spPr>
            <a:ln w="25400" cap="rnd">
              <a:noFill/>
              <a:round/>
            </a:ln>
            <a:effectLst/>
          </c:spPr>
          <c:marker>
            <c:symbol val="square"/>
            <c:size val="5"/>
            <c:spPr>
              <a:solidFill>
                <a:srgbClr val="FFC000"/>
              </a:solidFill>
              <a:ln w="9525">
                <a:solidFill>
                  <a:srgbClr val="FFC000"/>
                </a:solidFill>
              </a:ln>
              <a:effectLst/>
            </c:spPr>
          </c:marker>
          <c:xVal>
            <c:numRef>
              <c:f>Summary_TransferPRJ!$K$37:$K$62</c:f>
              <c:numCache>
                <c:formatCode>0.0%</c:formatCode>
                <c:ptCount val="26"/>
                <c:pt idx="0">
                  <c:v>-1</c:v>
                </c:pt>
                <c:pt idx="1">
                  <c:v>0.36700654370436298</c:v>
                </c:pt>
                <c:pt idx="2">
                  <c:v>0.61401362566579953</c:v>
                </c:pt>
                <c:pt idx="3">
                  <c:v>0.48918148654810761</c:v>
                </c:pt>
                <c:pt idx="4">
                  <c:v>-1</c:v>
                </c:pt>
                <c:pt idx="5">
                  <c:v>0.64635217820368229</c:v>
                </c:pt>
                <c:pt idx="6">
                  <c:v>0.69958272964358159</c:v>
                </c:pt>
                <c:pt idx="7">
                  <c:v>-1</c:v>
                </c:pt>
                <c:pt idx="8">
                  <c:v>0.80374949546449137</c:v>
                </c:pt>
                <c:pt idx="9">
                  <c:v>-1</c:v>
                </c:pt>
                <c:pt idx="10">
                  <c:v>0.76212121212121209</c:v>
                </c:pt>
                <c:pt idx="11">
                  <c:v>-1</c:v>
                </c:pt>
                <c:pt idx="12">
                  <c:v>0.25123966942148757</c:v>
                </c:pt>
                <c:pt idx="13">
                  <c:v>0.59749373433583963</c:v>
                </c:pt>
                <c:pt idx="14">
                  <c:v>0.69733610475545948</c:v>
                </c:pt>
                <c:pt idx="15">
                  <c:v>0.72714285714285709</c:v>
                </c:pt>
                <c:pt idx="16">
                  <c:v>-1</c:v>
                </c:pt>
                <c:pt idx="17">
                  <c:v>-1</c:v>
                </c:pt>
                <c:pt idx="18">
                  <c:v>-1</c:v>
                </c:pt>
                <c:pt idx="19">
                  <c:v>-1</c:v>
                </c:pt>
                <c:pt idx="20">
                  <c:v>-1</c:v>
                </c:pt>
                <c:pt idx="21">
                  <c:v>-1</c:v>
                </c:pt>
                <c:pt idx="22">
                  <c:v>0.9302843797813829</c:v>
                </c:pt>
                <c:pt idx="23">
                  <c:v>0.8087267997690154</c:v>
                </c:pt>
                <c:pt idx="24">
                  <c:v>0.82204838914334599</c:v>
                </c:pt>
                <c:pt idx="25">
                  <c:v>0.79625271276118736</c:v>
                </c:pt>
              </c:numCache>
            </c:numRef>
          </c:xVal>
          <c:yVal>
            <c:numRef>
              <c:f>Summary_TransferPRJ!$L$37:$L$62</c:f>
              <c:numCache>
                <c:formatCode>0.0</c:formatCode>
                <c:ptCount val="26"/>
                <c:pt idx="0">
                  <c:v>-1</c:v>
                </c:pt>
                <c:pt idx="1">
                  <c:v>0.51</c:v>
                </c:pt>
                <c:pt idx="2">
                  <c:v>1.6666666666666667</c:v>
                </c:pt>
                <c:pt idx="3">
                  <c:v>0</c:v>
                </c:pt>
                <c:pt idx="4">
                  <c:v>-1</c:v>
                </c:pt>
                <c:pt idx="5">
                  <c:v>9.6261757145775046</c:v>
                </c:pt>
                <c:pt idx="6">
                  <c:v>8.9552238805970141</c:v>
                </c:pt>
                <c:pt idx="7">
                  <c:v>-1</c:v>
                </c:pt>
                <c:pt idx="8">
                  <c:v>26.213369963369964</c:v>
                </c:pt>
                <c:pt idx="9">
                  <c:v>-1</c:v>
                </c:pt>
                <c:pt idx="10">
                  <c:v>28.248587570621471</c:v>
                </c:pt>
                <c:pt idx="11">
                  <c:v>-1</c:v>
                </c:pt>
                <c:pt idx="12">
                  <c:v>-1</c:v>
                </c:pt>
                <c:pt idx="13">
                  <c:v>5.1325919589392646</c:v>
                </c:pt>
                <c:pt idx="14">
                  <c:v>8.8501244531669521</c:v>
                </c:pt>
                <c:pt idx="15">
                  <c:v>38.333333333333336</c:v>
                </c:pt>
                <c:pt idx="16">
                  <c:v>-1</c:v>
                </c:pt>
                <c:pt idx="17">
                  <c:v>-1</c:v>
                </c:pt>
                <c:pt idx="18">
                  <c:v>-1</c:v>
                </c:pt>
                <c:pt idx="19">
                  <c:v>-1</c:v>
                </c:pt>
                <c:pt idx="20">
                  <c:v>-1</c:v>
                </c:pt>
                <c:pt idx="21">
                  <c:v>-1</c:v>
                </c:pt>
                <c:pt idx="22">
                  <c:v>12.548967747218196</c:v>
                </c:pt>
                <c:pt idx="23">
                  <c:v>17.194835680751176</c:v>
                </c:pt>
                <c:pt idx="24">
                  <c:v>7.2840007196038288</c:v>
                </c:pt>
                <c:pt idx="25">
                  <c:v>10.628836900613905</c:v>
                </c:pt>
              </c:numCache>
            </c:numRef>
          </c:yVal>
          <c:smooth val="0"/>
          <c:extLst>
            <c:ext xmlns:c16="http://schemas.microsoft.com/office/drawing/2014/chart" uri="{C3380CC4-5D6E-409C-BE32-E72D297353CC}">
              <c16:uniqueId val="{00000001-7828-47E7-9506-9B0BA2560B0C}"/>
            </c:ext>
          </c:extLst>
        </c:ser>
        <c:ser>
          <c:idx val="2"/>
          <c:order val="2"/>
          <c:tx>
            <c:strRef>
              <c:f>Summary_TransferPRJ!$M$35</c:f>
              <c:strCache>
                <c:ptCount val="1"/>
                <c:pt idx="0">
                  <c:v>Sr</c:v>
                </c:pt>
              </c:strCache>
            </c:strRef>
          </c:tx>
          <c:spPr>
            <a:ln w="25400" cap="rnd">
              <a:noFill/>
              <a:round/>
            </a:ln>
            <a:effectLst/>
          </c:spPr>
          <c:marker>
            <c:symbol val="triangle"/>
            <c:size val="5"/>
            <c:spPr>
              <a:solidFill>
                <a:srgbClr val="00B050"/>
              </a:solidFill>
              <a:ln w="9525">
                <a:solidFill>
                  <a:srgbClr val="00B050"/>
                </a:solidFill>
              </a:ln>
              <a:effectLst/>
            </c:spPr>
          </c:marker>
          <c:xVal>
            <c:numRef>
              <c:f>Summary_TransferPRJ!$M$37:$M$62</c:f>
              <c:numCache>
                <c:formatCode>0.0%</c:formatCode>
                <c:ptCount val="26"/>
                <c:pt idx="0">
                  <c:v>-1</c:v>
                </c:pt>
                <c:pt idx="1">
                  <c:v>-1</c:v>
                </c:pt>
                <c:pt idx="2">
                  <c:v>-1</c:v>
                </c:pt>
                <c:pt idx="3">
                  <c:v>-1</c:v>
                </c:pt>
                <c:pt idx="4">
                  <c:v>0.70000000000000007</c:v>
                </c:pt>
                <c:pt idx="5">
                  <c:v>-1</c:v>
                </c:pt>
                <c:pt idx="6">
                  <c:v>-1</c:v>
                </c:pt>
                <c:pt idx="7">
                  <c:v>0.63399871733205071</c:v>
                </c:pt>
                <c:pt idx="8">
                  <c:v>-1</c:v>
                </c:pt>
                <c:pt idx="9">
                  <c:v>0.74315339832581206</c:v>
                </c:pt>
                <c:pt idx="10">
                  <c:v>-1</c:v>
                </c:pt>
                <c:pt idx="11">
                  <c:v>0.70050505050505052</c:v>
                </c:pt>
                <c:pt idx="12">
                  <c:v>-1</c:v>
                </c:pt>
                <c:pt idx="13">
                  <c:v>-1</c:v>
                </c:pt>
                <c:pt idx="14">
                  <c:v>-1</c:v>
                </c:pt>
                <c:pt idx="15">
                  <c:v>-1</c:v>
                </c:pt>
                <c:pt idx="16">
                  <c:v>0.71810664112388256</c:v>
                </c:pt>
                <c:pt idx="17">
                  <c:v>-1</c:v>
                </c:pt>
                <c:pt idx="18">
                  <c:v>-1</c:v>
                </c:pt>
                <c:pt idx="19">
                  <c:v>-1</c:v>
                </c:pt>
                <c:pt idx="20">
                  <c:v>-1</c:v>
                </c:pt>
                <c:pt idx="21">
                  <c:v>-1</c:v>
                </c:pt>
                <c:pt idx="22">
                  <c:v>-1</c:v>
                </c:pt>
                <c:pt idx="23">
                  <c:v>-1</c:v>
                </c:pt>
                <c:pt idx="24">
                  <c:v>-1</c:v>
                </c:pt>
                <c:pt idx="25">
                  <c:v>-1</c:v>
                </c:pt>
              </c:numCache>
            </c:numRef>
          </c:xVal>
          <c:yVal>
            <c:numRef>
              <c:f>Summary_TransferPRJ!$N$37:$N$62</c:f>
              <c:numCache>
                <c:formatCode>0.0</c:formatCode>
                <c:ptCount val="26"/>
                <c:pt idx="0">
                  <c:v>-1</c:v>
                </c:pt>
                <c:pt idx="1">
                  <c:v>-1</c:v>
                </c:pt>
                <c:pt idx="2">
                  <c:v>-1</c:v>
                </c:pt>
                <c:pt idx="3">
                  <c:v>-1</c:v>
                </c:pt>
                <c:pt idx="4">
                  <c:v>-1</c:v>
                </c:pt>
                <c:pt idx="5">
                  <c:v>-1</c:v>
                </c:pt>
                <c:pt idx="6">
                  <c:v>-1</c:v>
                </c:pt>
                <c:pt idx="7">
                  <c:v>21.341663967486856</c:v>
                </c:pt>
                <c:pt idx="8">
                  <c:v>-1</c:v>
                </c:pt>
                <c:pt idx="9">
                  <c:v>1.1389759665621735</c:v>
                </c:pt>
                <c:pt idx="10">
                  <c:v>-1</c:v>
                </c:pt>
                <c:pt idx="11">
                  <c:v>56.666666666666664</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numCache>
            </c:numRef>
          </c:yVal>
          <c:smooth val="0"/>
          <c:extLst>
            <c:ext xmlns:c16="http://schemas.microsoft.com/office/drawing/2014/chart" uri="{C3380CC4-5D6E-409C-BE32-E72D297353CC}">
              <c16:uniqueId val="{00000002-7828-47E7-9506-9B0BA2560B0C}"/>
            </c:ext>
          </c:extLst>
        </c:ser>
        <c:ser>
          <c:idx val="3"/>
          <c:order val="3"/>
          <c:tx>
            <c:strRef>
              <c:f>Summary_TransferPRJ!$O$35</c:f>
              <c:strCache>
                <c:ptCount val="1"/>
                <c:pt idx="0">
                  <c:v>TL</c:v>
                </c:pt>
              </c:strCache>
            </c:strRef>
          </c:tx>
          <c:spPr>
            <a:ln w="25400" cap="rnd">
              <a:noFill/>
              <a:round/>
            </a:ln>
            <a:effectLst/>
          </c:spPr>
          <c:marker>
            <c:symbol val="diamond"/>
            <c:size val="5"/>
            <c:spPr>
              <a:solidFill>
                <a:srgbClr val="0070C0"/>
              </a:solidFill>
              <a:ln w="9525">
                <a:solidFill>
                  <a:srgbClr val="0070C0"/>
                </a:solidFill>
              </a:ln>
              <a:effectLst/>
            </c:spPr>
          </c:marker>
          <c:xVal>
            <c:numRef>
              <c:f>Summary_TransferPRJ!$O$37:$O$62</c:f>
              <c:numCache>
                <c:formatCode>0.0%</c:formatCode>
                <c:ptCount val="26"/>
                <c:pt idx="0">
                  <c:v>0.62856209150326792</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numCache>
            </c:numRef>
          </c:xVal>
          <c:yVal>
            <c:numRef>
              <c:f>Summary_TransferPRJ!$P$37:$P$62</c:f>
              <c:numCache>
                <c:formatCode>0.0</c:formatCode>
                <c:ptCount val="26"/>
                <c:pt idx="0">
                  <c:v>8.7719298245614041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numCache>
            </c:numRef>
          </c:yVal>
          <c:smooth val="0"/>
          <c:extLst>
            <c:ext xmlns:c16="http://schemas.microsoft.com/office/drawing/2014/chart" uri="{C3380CC4-5D6E-409C-BE32-E72D297353CC}">
              <c16:uniqueId val="{00000003-7828-47E7-9506-9B0BA2560B0C}"/>
            </c:ext>
          </c:extLst>
        </c:ser>
        <c:dLbls>
          <c:showLegendKey val="0"/>
          <c:showVal val="0"/>
          <c:showCatName val="0"/>
          <c:showSerName val="0"/>
          <c:showPercent val="0"/>
          <c:showBubbleSize val="0"/>
        </c:dLbls>
        <c:axId val="253081631"/>
        <c:axId val="2080177807"/>
      </c:scatterChart>
      <c:valAx>
        <c:axId val="253081631"/>
        <c:scaling>
          <c:orientation val="minMax"/>
          <c:min val="0"/>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r>
                  <a:rPr lang="ja-JP" altLang="en-US"/>
                  <a:t>生産性</a:t>
                </a:r>
                <a:r>
                  <a:rPr lang="en-US" altLang="ja-JP"/>
                  <a:t>(Productivity) [</a:t>
                </a:r>
                <a:r>
                  <a:rPr lang="ja-JP" altLang="en-US"/>
                  <a:t>実績</a:t>
                </a:r>
                <a:r>
                  <a:rPr lang="en-US" altLang="ja-JP"/>
                  <a:t>/</a:t>
                </a:r>
                <a:r>
                  <a:rPr lang="ja-JP" altLang="en-US"/>
                  <a:t>標準</a:t>
                </a:r>
                <a:r>
                  <a:rPr lang="en-US" altLang="ja-JP"/>
                  <a:t>]</a:t>
                </a:r>
                <a:endParaRPr lang="en-US"/>
              </a:p>
            </c:rich>
          </c:tx>
          <c:layout>
            <c:manualLayout>
              <c:xMode val="edge"/>
              <c:yMode val="edge"/>
              <c:x val="0.39474991486611399"/>
              <c:y val="0.94342609751522044"/>
            </c:manualLayout>
          </c:layout>
          <c:overlay val="0"/>
          <c:spPr>
            <a:noFill/>
            <a:ln>
              <a:noFill/>
            </a:ln>
            <a:effectLst/>
          </c:spPr>
          <c:txPr>
            <a:bodyPr rot="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high"/>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2080177807"/>
        <c:crosses val="autoZero"/>
        <c:crossBetween val="midCat"/>
        <c:majorUnit val="0.60000000000000009"/>
      </c:valAx>
      <c:valAx>
        <c:axId val="2080177807"/>
        <c:scaling>
          <c:orientation val="maxMin"/>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r>
                  <a:rPr lang="ja-JP" altLang="en-US"/>
                  <a:t>品質</a:t>
                </a:r>
                <a:r>
                  <a:rPr lang="en-US" altLang="ja-JP"/>
                  <a:t>(Quality)</a:t>
                </a:r>
                <a:endParaRPr lang="en-US"/>
              </a:p>
            </c:rich>
          </c:tx>
          <c:overlay val="0"/>
          <c:spPr>
            <a:noFill/>
            <a:ln>
              <a:noFill/>
            </a:ln>
            <a:effectLst/>
          </c:spPr>
          <c:txPr>
            <a:bodyPr rot="-5400000" spcFirstLastPara="1" vertOverflow="ellipsis" vert="horz" wrap="square" anchor="ctr" anchorCtr="1"/>
            <a:lstStyle/>
            <a:p>
              <a:pPr>
                <a:defRPr lang="ja-JP"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253081631"/>
        <c:crosses val="autoZero"/>
        <c:crossBetween val="midCat"/>
        <c:majorUnit val="8"/>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37</xdr:col>
      <xdr:colOff>167987</xdr:colOff>
      <xdr:row>3</xdr:row>
      <xdr:rowOff>140391</xdr:rowOff>
    </xdr:from>
    <xdr:to>
      <xdr:col>38</xdr:col>
      <xdr:colOff>1905000</xdr:colOff>
      <xdr:row>6</xdr:row>
      <xdr:rowOff>12009</xdr:rowOff>
    </xdr:to>
    <xdr:sp macro="" textlink="">
      <xdr:nvSpPr>
        <xdr:cNvPr id="78" name="Rectangle 1">
          <a:extLst>
            <a:ext uri="{FF2B5EF4-FFF2-40B4-BE49-F238E27FC236}">
              <a16:creationId xmlns:a16="http://schemas.microsoft.com/office/drawing/2014/main" id="{78CBC1D9-87C8-4280-B15A-51F690F37E2F}"/>
            </a:ext>
          </a:extLst>
        </xdr:cNvPr>
        <xdr:cNvSpPr/>
      </xdr:nvSpPr>
      <xdr:spPr>
        <a:xfrm>
          <a:off x="30190787" y="645216"/>
          <a:ext cx="4099213" cy="32881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Quantitative data is needed</a:t>
          </a:r>
          <a:r>
            <a:rPr lang="en-US" sz="1100" baseline="0"/>
            <a:t> for Column AL/AM </a:t>
          </a:r>
          <a:endParaRPr lang="en-US" sz="1100"/>
        </a:p>
      </xdr:txBody>
    </xdr:sp>
    <xdr:clientData/>
  </xdr:twoCellAnchor>
  <xdr:twoCellAnchor>
    <xdr:from>
      <xdr:col>9</xdr:col>
      <xdr:colOff>152400</xdr:colOff>
      <xdr:row>10</xdr:row>
      <xdr:rowOff>245026</xdr:rowOff>
    </xdr:from>
    <xdr:to>
      <xdr:col>15</xdr:col>
      <xdr:colOff>138112</xdr:colOff>
      <xdr:row>10</xdr:row>
      <xdr:rowOff>946149</xdr:rowOff>
    </xdr:to>
    <xdr:sp macro="" textlink="">
      <xdr:nvSpPr>
        <xdr:cNvPr id="229" name="Speech Bubble: Rectangle with Corners Rounded 2">
          <a:extLst>
            <a:ext uri="{FF2B5EF4-FFF2-40B4-BE49-F238E27FC236}">
              <a16:creationId xmlns:a16="http://schemas.microsoft.com/office/drawing/2014/main" id="{1A556304-6942-4EBE-8CF0-74E3A5F991EF}"/>
            </a:ext>
          </a:extLst>
        </xdr:cNvPr>
        <xdr:cNvSpPr/>
      </xdr:nvSpPr>
      <xdr:spPr>
        <a:xfrm>
          <a:off x="5403850" y="2124626"/>
          <a:ext cx="2728912" cy="701123"/>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7</xdr:col>
      <xdr:colOff>446433</xdr:colOff>
      <xdr:row>16</xdr:row>
      <xdr:rowOff>125620</xdr:rowOff>
    </xdr:from>
    <xdr:to>
      <xdr:col>13</xdr:col>
      <xdr:colOff>432145</xdr:colOff>
      <xdr:row>16</xdr:row>
      <xdr:rowOff>668229</xdr:rowOff>
    </xdr:to>
    <xdr:sp macro="" textlink="">
      <xdr:nvSpPr>
        <xdr:cNvPr id="167" name="Speech Bubble: Rectangle with Corners Rounded 3">
          <a:extLst>
            <a:ext uri="{FF2B5EF4-FFF2-40B4-BE49-F238E27FC236}">
              <a16:creationId xmlns:a16="http://schemas.microsoft.com/office/drawing/2014/main" id="{88AE7321-FB83-9DBC-3AC2-BC3289418E00}"/>
            </a:ext>
          </a:extLst>
        </xdr:cNvPr>
        <xdr:cNvSpPr/>
      </xdr:nvSpPr>
      <xdr:spPr>
        <a:xfrm>
          <a:off x="4778237" y="8996294"/>
          <a:ext cx="2718973" cy="542609"/>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Move</a:t>
          </a:r>
          <a:r>
            <a:rPr lang="en-US" sz="1100" baseline="0">
              <a:solidFill>
                <a:srgbClr val="FF0000"/>
              </a:solidFill>
            </a:rPr>
            <a:t> to Kaizen Phase</a:t>
          </a:r>
        </a:p>
        <a:p>
          <a:pPr algn="l"/>
          <a:r>
            <a:rPr lang="en-US" sz="1100" baseline="0">
              <a:solidFill>
                <a:srgbClr val="FF0000"/>
              </a:solidFill>
            </a:rPr>
            <a:t># Many sick leave</a:t>
          </a:r>
          <a:endParaRPr lang="en-US" sz="1100">
            <a:solidFill>
              <a:srgbClr val="FF0000"/>
            </a:solidFill>
          </a:endParaRPr>
        </a:p>
      </xdr:txBody>
    </xdr:sp>
    <xdr:clientData/>
  </xdr:twoCellAnchor>
  <xdr:twoCellAnchor>
    <xdr:from>
      <xdr:col>8</xdr:col>
      <xdr:colOff>197954</xdr:colOff>
      <xdr:row>12</xdr:row>
      <xdr:rowOff>225011</xdr:rowOff>
    </xdr:from>
    <xdr:to>
      <xdr:col>14</xdr:col>
      <xdr:colOff>183666</xdr:colOff>
      <xdr:row>12</xdr:row>
      <xdr:rowOff>767620</xdr:rowOff>
    </xdr:to>
    <xdr:sp macro="" textlink="">
      <xdr:nvSpPr>
        <xdr:cNvPr id="143" name="Speech Bubble: Rectangle with Corners Rounded 4">
          <a:extLst>
            <a:ext uri="{FF2B5EF4-FFF2-40B4-BE49-F238E27FC236}">
              <a16:creationId xmlns:a16="http://schemas.microsoft.com/office/drawing/2014/main" id="{9A2FD4AE-7473-1A1F-CA4C-6454CE7F2E17}"/>
            </a:ext>
          </a:extLst>
        </xdr:cNvPr>
        <xdr:cNvSpPr/>
      </xdr:nvSpPr>
      <xdr:spPr>
        <a:xfrm>
          <a:off x="4985302" y="6809685"/>
          <a:ext cx="2718973" cy="542609"/>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Depends on PTE, </a:t>
          </a:r>
        </a:p>
        <a:p>
          <a:pPr algn="l"/>
          <a:r>
            <a:rPr lang="en-US" sz="1100">
              <a:solidFill>
                <a:srgbClr val="FF0000"/>
              </a:solidFill>
            </a:rPr>
            <a:t>but hopfully move</a:t>
          </a:r>
          <a:r>
            <a:rPr lang="en-US" sz="1100" baseline="0">
              <a:solidFill>
                <a:srgbClr val="FF0000"/>
              </a:solidFill>
            </a:rPr>
            <a:t> to Kaizen Phase</a:t>
          </a:r>
          <a:endParaRPr lang="en-US" sz="1100">
            <a:solidFill>
              <a:srgbClr val="FF0000"/>
            </a:solidFill>
          </a:endParaRPr>
        </a:p>
      </xdr:txBody>
    </xdr:sp>
    <xdr:clientData/>
  </xdr:twoCellAnchor>
  <xdr:twoCellAnchor>
    <xdr:from>
      <xdr:col>24</xdr:col>
      <xdr:colOff>373632</xdr:colOff>
      <xdr:row>2</xdr:row>
      <xdr:rowOff>527</xdr:rowOff>
    </xdr:from>
    <xdr:to>
      <xdr:col>26</xdr:col>
      <xdr:colOff>1117792</xdr:colOff>
      <xdr:row>6</xdr:row>
      <xdr:rowOff>55877</xdr:rowOff>
    </xdr:to>
    <xdr:sp macro="" textlink="">
      <xdr:nvSpPr>
        <xdr:cNvPr id="132" name="Speech Bubble: Rectangle with Corners Rounded 8">
          <a:extLst>
            <a:ext uri="{FF2B5EF4-FFF2-40B4-BE49-F238E27FC236}">
              <a16:creationId xmlns:a16="http://schemas.microsoft.com/office/drawing/2014/main" id="{F88A6BA6-43E7-4772-8BBC-F9F534FEAC22}"/>
            </a:ext>
          </a:extLst>
        </xdr:cNvPr>
        <xdr:cNvSpPr/>
      </xdr:nvSpPr>
      <xdr:spPr>
        <a:xfrm>
          <a:off x="13125926" y="351645"/>
          <a:ext cx="2058984" cy="652997"/>
        </a:xfrm>
        <a:prstGeom prst="wedgeRoundRectCallout">
          <a:avLst>
            <a:gd name="adj1" fmla="val -71218"/>
            <a:gd name="adj2" fmla="val 48041"/>
            <a:gd name="adj3" fmla="val 16667"/>
          </a:avLst>
        </a:prstGeom>
        <a:solidFill>
          <a:schemeClr val="accent4">
            <a:lumMod val="20000"/>
            <a:lumOff val="80000"/>
          </a:schemeClr>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ysClr val="windowText" lastClr="000000"/>
              </a:solidFill>
            </a:rPr>
            <a:t>・</a:t>
          </a:r>
          <a:r>
            <a:rPr lang="en-US" sz="1100">
              <a:solidFill>
                <a:sysClr val="windowText" lastClr="000000"/>
              </a:solidFill>
            </a:rPr>
            <a:t>Gerly-san's comment</a:t>
          </a:r>
        </a:p>
        <a:p>
          <a:pPr algn="l"/>
          <a:r>
            <a:rPr lang="en-US" sz="1100">
              <a:solidFill>
                <a:sysClr val="windowText" lastClr="000000"/>
              </a:solidFill>
            </a:rPr>
            <a:t>・★ mens action item</a:t>
          </a:r>
        </a:p>
        <a:p>
          <a:pPr algn="l"/>
          <a:endParaRPr lang="en-US" sz="1100">
            <a:solidFill>
              <a:sysClr val="windowText" lastClr="000000"/>
            </a:solidFill>
          </a:endParaRPr>
        </a:p>
      </xdr:txBody>
    </xdr:sp>
    <xdr:clientData/>
  </xdr:twoCellAnchor>
  <xdr:twoCellAnchor>
    <xdr:from>
      <xdr:col>18</xdr:col>
      <xdr:colOff>127405</xdr:colOff>
      <xdr:row>1</xdr:row>
      <xdr:rowOff>184820</xdr:rowOff>
    </xdr:from>
    <xdr:to>
      <xdr:col>23</xdr:col>
      <xdr:colOff>185769</xdr:colOff>
      <xdr:row>6</xdr:row>
      <xdr:rowOff>47117</xdr:rowOff>
    </xdr:to>
    <xdr:sp macro="" textlink="">
      <xdr:nvSpPr>
        <xdr:cNvPr id="107" name="Speech Bubble: Rectangle with Corners Rounded 2">
          <a:extLst>
            <a:ext uri="{FF2B5EF4-FFF2-40B4-BE49-F238E27FC236}">
              <a16:creationId xmlns:a16="http://schemas.microsoft.com/office/drawing/2014/main" id="{C034ECA0-8729-4201-9FD8-686AB7F50F9B}"/>
            </a:ext>
          </a:extLst>
        </xdr:cNvPr>
        <xdr:cNvSpPr/>
      </xdr:nvSpPr>
      <xdr:spPr>
        <a:xfrm>
          <a:off x="9697229" y="334232"/>
          <a:ext cx="2710422" cy="661650"/>
        </a:xfrm>
        <a:prstGeom prst="wedgeRoundRectCallout">
          <a:avLst>
            <a:gd name="adj1" fmla="val -61309"/>
            <a:gd name="adj2" fmla="val 44536"/>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sz="1100">
              <a:solidFill>
                <a:srgbClr val="FF0000"/>
              </a:solidFill>
            </a:rPr>
            <a:t>Nakaya's comment</a:t>
          </a:r>
        </a:p>
        <a:p>
          <a:pPr algn="l"/>
          <a:r>
            <a:rPr lang="ja-JP" altLang="en-US" sz="1100">
              <a:solidFill>
                <a:srgbClr val="FF0000"/>
              </a:solidFill>
            </a:rPr>
            <a:t>・★ </a:t>
          </a:r>
          <a:r>
            <a:rPr lang="en-US" altLang="ja-JP" sz="1100">
              <a:solidFill>
                <a:srgbClr val="FF0000"/>
              </a:solidFill>
            </a:rPr>
            <a:t>mens action item</a:t>
          </a:r>
          <a:endParaRPr lang="en-US" sz="1100">
            <a:solidFill>
              <a:srgbClr val="FF0000"/>
            </a:solidFill>
          </a:endParaRPr>
        </a:p>
      </xdr:txBody>
    </xdr:sp>
    <xdr:clientData/>
  </xdr:twoCellAnchor>
  <xdr:twoCellAnchor>
    <xdr:from>
      <xdr:col>10</xdr:col>
      <xdr:colOff>152400</xdr:colOff>
      <xdr:row>11</xdr:row>
      <xdr:rowOff>181526</xdr:rowOff>
    </xdr:from>
    <xdr:to>
      <xdr:col>16</xdr:col>
      <xdr:colOff>138112</xdr:colOff>
      <xdr:row>11</xdr:row>
      <xdr:rowOff>885824</xdr:rowOff>
    </xdr:to>
    <xdr:sp macro="" textlink="">
      <xdr:nvSpPr>
        <xdr:cNvPr id="228" name="Speech Bubble: Rectangle with Corners Rounded 2">
          <a:extLst>
            <a:ext uri="{FF2B5EF4-FFF2-40B4-BE49-F238E27FC236}">
              <a16:creationId xmlns:a16="http://schemas.microsoft.com/office/drawing/2014/main" id="{FC2CFEFE-6AC5-CDBF-FE36-4757296BAFD3}"/>
            </a:ext>
          </a:extLst>
        </xdr:cNvPr>
        <xdr:cNvSpPr/>
      </xdr:nvSpPr>
      <xdr:spPr>
        <a:xfrm>
          <a:off x="5861050" y="4194726"/>
          <a:ext cx="2728912"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32</xdr:col>
      <xdr:colOff>460375</xdr:colOff>
      <xdr:row>12</xdr:row>
      <xdr:rowOff>103717</xdr:rowOff>
    </xdr:from>
    <xdr:to>
      <xdr:col>35</xdr:col>
      <xdr:colOff>701146</xdr:colOff>
      <xdr:row>12</xdr:row>
      <xdr:rowOff>649501</xdr:rowOff>
    </xdr:to>
    <xdr:sp macro="" textlink="">
      <xdr:nvSpPr>
        <xdr:cNvPr id="270" name="Speech Bubble: Rectangle with Corners Rounded 4">
          <a:extLst>
            <a:ext uri="{FF2B5EF4-FFF2-40B4-BE49-F238E27FC236}">
              <a16:creationId xmlns:a16="http://schemas.microsoft.com/office/drawing/2014/main" id="{82CA6764-F3ED-45D8-AE51-D750CE95CBE1}"/>
            </a:ext>
          </a:extLst>
        </xdr:cNvPr>
        <xdr:cNvSpPr/>
      </xdr:nvSpPr>
      <xdr:spPr>
        <a:xfrm>
          <a:off x="25230667" y="6713009"/>
          <a:ext cx="2722562" cy="545784"/>
        </a:xfrm>
        <a:prstGeom prst="wedgeRoundRectCallout">
          <a:avLst>
            <a:gd name="adj1" fmla="val -67019"/>
            <a:gd name="adj2" fmla="val 155678"/>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The number of</a:t>
          </a:r>
          <a:r>
            <a:rPr lang="en-US" sz="1100" baseline="0">
              <a:solidFill>
                <a:srgbClr val="FF0000"/>
              </a:solidFill>
            </a:rPr>
            <a:t> findings is decreasing</a:t>
          </a:r>
          <a:endParaRPr lang="en-US" sz="1100">
            <a:solidFill>
              <a:srgbClr val="FF0000"/>
            </a:solidFill>
          </a:endParaRPr>
        </a:p>
      </xdr:txBody>
    </xdr:sp>
    <xdr:clientData/>
  </xdr:twoCellAnchor>
  <xdr:twoCellAnchor>
    <xdr:from>
      <xdr:col>12</xdr:col>
      <xdr:colOff>116417</xdr:colOff>
      <xdr:row>20</xdr:row>
      <xdr:rowOff>121708</xdr:rowOff>
    </xdr:from>
    <xdr:to>
      <xdr:col>17</xdr:col>
      <xdr:colOff>557212</xdr:colOff>
      <xdr:row>20</xdr:row>
      <xdr:rowOff>826006</xdr:rowOff>
    </xdr:to>
    <xdr:sp macro="" textlink="">
      <xdr:nvSpPr>
        <xdr:cNvPr id="292" name="Speech Bubble: Rectangle with Corners Rounded 2">
          <a:extLst>
            <a:ext uri="{FF2B5EF4-FFF2-40B4-BE49-F238E27FC236}">
              <a16:creationId xmlns:a16="http://schemas.microsoft.com/office/drawing/2014/main" id="{21FF0D3F-FA7E-47FD-A719-337BB76CFEDA}"/>
            </a:ext>
          </a:extLst>
        </xdr:cNvPr>
        <xdr:cNvSpPr/>
      </xdr:nvSpPr>
      <xdr:spPr>
        <a:xfrm>
          <a:off x="6720417" y="10996083"/>
          <a:ext cx="2716212"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11</xdr:col>
      <xdr:colOff>161925</xdr:colOff>
      <xdr:row>12</xdr:row>
      <xdr:rowOff>838200</xdr:rowOff>
    </xdr:from>
    <xdr:to>
      <xdr:col>15</xdr:col>
      <xdr:colOff>352425</xdr:colOff>
      <xdr:row>12</xdr:row>
      <xdr:rowOff>1790700</xdr:rowOff>
    </xdr:to>
    <xdr:sp macro="" textlink="">
      <xdr:nvSpPr>
        <xdr:cNvPr id="303" name="TextBox 356">
          <a:extLst>
            <a:ext uri="{FF2B5EF4-FFF2-40B4-BE49-F238E27FC236}">
              <a16:creationId xmlns:a16="http://schemas.microsoft.com/office/drawing/2014/main" id="{0C6A310F-0802-7600-1A81-FCDAC00FBD2A}"/>
            </a:ext>
            <a:ext uri="{147F2762-F138-4A5C-976F-8EAC2B608ADB}">
              <a16:predDERef xmlns:a16="http://schemas.microsoft.com/office/drawing/2014/main" pred="{941FDEC3-22CD-41BC-832E-F849CC76CBEA}"/>
            </a:ext>
          </a:extLst>
        </xdr:cNvPr>
        <xdr:cNvSpPr txBox="1"/>
      </xdr:nvSpPr>
      <xdr:spPr>
        <a:xfrm>
          <a:off x="6315075" y="9410700"/>
          <a:ext cx="2019300"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Josh: 1 task has been completed today 2/22. Only 1 task waiting for review</a:t>
          </a:r>
        </a:p>
      </xdr:txBody>
    </xdr:sp>
    <xdr:clientData/>
  </xdr:twoCellAnchor>
  <xdr:twoCellAnchor>
    <xdr:from>
      <xdr:col>13</xdr:col>
      <xdr:colOff>19050</xdr:colOff>
      <xdr:row>20</xdr:row>
      <xdr:rowOff>885825</xdr:rowOff>
    </xdr:from>
    <xdr:to>
      <xdr:col>17</xdr:col>
      <xdr:colOff>209550</xdr:colOff>
      <xdr:row>20</xdr:row>
      <xdr:rowOff>1838325</xdr:rowOff>
    </xdr:to>
    <xdr:sp macro="" textlink="">
      <xdr:nvSpPr>
        <xdr:cNvPr id="302" name="TextBox 357">
          <a:extLst>
            <a:ext uri="{FF2B5EF4-FFF2-40B4-BE49-F238E27FC236}">
              <a16:creationId xmlns:a16="http://schemas.microsoft.com/office/drawing/2014/main" id="{9C05B595-FFDD-4DAF-B548-498E7BDE59BD}"/>
            </a:ext>
            <a:ext uri="{147F2762-F138-4A5C-976F-8EAC2B608ADB}">
              <a16:predDERef xmlns:a16="http://schemas.microsoft.com/office/drawing/2014/main" pred="{0C6A310F-0802-7600-1A81-FCDAC00FBD2A}"/>
            </a:ext>
          </a:extLst>
        </xdr:cNvPr>
        <xdr:cNvSpPr txBox="1"/>
      </xdr:nvSpPr>
      <xdr:spPr>
        <a:xfrm>
          <a:off x="7086600" y="17068800"/>
          <a:ext cx="2019300" cy="9525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Josh: 1 task has been completed today 2/22. Only 1 task waiting for review</a:t>
          </a:r>
        </a:p>
      </xdr:txBody>
    </xdr:sp>
    <xdr:clientData/>
  </xdr:twoCellAnchor>
  <xdr:twoCellAnchor>
    <xdr:from>
      <xdr:col>10</xdr:col>
      <xdr:colOff>333375</xdr:colOff>
      <xdr:row>10</xdr:row>
      <xdr:rowOff>1085850</xdr:rowOff>
    </xdr:from>
    <xdr:to>
      <xdr:col>15</xdr:col>
      <xdr:colOff>66675</xdr:colOff>
      <xdr:row>10</xdr:row>
      <xdr:rowOff>2038350</xdr:rowOff>
    </xdr:to>
    <xdr:sp macro="" textlink="">
      <xdr:nvSpPr>
        <xdr:cNvPr id="310" name="TextBox 358">
          <a:extLst>
            <a:ext uri="{FF2B5EF4-FFF2-40B4-BE49-F238E27FC236}">
              <a16:creationId xmlns:a16="http://schemas.microsoft.com/office/drawing/2014/main" id="{D4135498-7B5A-4010-B6F0-4089EC98DE07}"/>
            </a:ext>
            <a:ext uri="{147F2762-F138-4A5C-976F-8EAC2B608ADB}">
              <a16:predDERef xmlns:a16="http://schemas.microsoft.com/office/drawing/2014/main" pred="{9C05B595-FFDD-4DAF-B548-498E7BDE59BD}"/>
            </a:ext>
          </a:extLst>
        </xdr:cNvPr>
        <xdr:cNvSpPr txBox="1"/>
      </xdr:nvSpPr>
      <xdr:spPr>
        <a:xfrm>
          <a:off x="6029325" y="2962275"/>
          <a:ext cx="2019300" cy="9525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Josh: member worked on 1 transferred task.</a:t>
          </a:r>
        </a:p>
      </xdr:txBody>
    </xdr:sp>
    <xdr:clientData/>
  </xdr:twoCellAnchor>
  <xdr:twoCellAnchor>
    <xdr:from>
      <xdr:col>1</xdr:col>
      <xdr:colOff>644769</xdr:colOff>
      <xdr:row>17</xdr:row>
      <xdr:rowOff>417635</xdr:rowOff>
    </xdr:from>
    <xdr:to>
      <xdr:col>4</xdr:col>
      <xdr:colOff>23248</xdr:colOff>
      <xdr:row>17</xdr:row>
      <xdr:rowOff>779360</xdr:rowOff>
    </xdr:to>
    <xdr:sp macro="" textlink="">
      <xdr:nvSpPr>
        <xdr:cNvPr id="25" name="Speech Bubble: Rectangle with Corners Rounded 1">
          <a:extLst>
            <a:ext uri="{FF2B5EF4-FFF2-40B4-BE49-F238E27FC236}">
              <a16:creationId xmlns:a16="http://schemas.microsoft.com/office/drawing/2014/main" id="{6136A490-8527-4956-961A-4AFF1B9236FF}"/>
            </a:ext>
          </a:extLst>
        </xdr:cNvPr>
        <xdr:cNvSpPr/>
      </xdr:nvSpPr>
      <xdr:spPr>
        <a:xfrm>
          <a:off x="813288" y="2300654"/>
          <a:ext cx="2089441" cy="361725"/>
        </a:xfrm>
        <a:prstGeom prst="wedgeRoundRectCallout">
          <a:avLst>
            <a:gd name="adj1" fmla="val -45708"/>
            <a:gd name="adj2" fmla="val 121459"/>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endParaRPr 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384175</xdr:colOff>
      <xdr:row>15</xdr:row>
      <xdr:rowOff>682625</xdr:rowOff>
    </xdr:from>
    <xdr:to>
      <xdr:col>24</xdr:col>
      <xdr:colOff>411162</xdr:colOff>
      <xdr:row>15</xdr:row>
      <xdr:rowOff>1386923</xdr:rowOff>
    </xdr:to>
    <xdr:sp macro="" textlink="">
      <xdr:nvSpPr>
        <xdr:cNvPr id="114" name="Speech Bubble: Rectangle with Corners Rounded 3">
          <a:extLst>
            <a:ext uri="{FF2B5EF4-FFF2-40B4-BE49-F238E27FC236}">
              <a16:creationId xmlns:a16="http://schemas.microsoft.com/office/drawing/2014/main" id="{5ACF8FF4-FF9A-095D-627D-B7401FDE17D3}"/>
            </a:ext>
          </a:extLst>
        </xdr:cNvPr>
        <xdr:cNvSpPr/>
      </xdr:nvSpPr>
      <xdr:spPr>
        <a:xfrm>
          <a:off x="6873875" y="5146675"/>
          <a:ext cx="2713037"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Move</a:t>
          </a:r>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12</xdr:col>
      <xdr:colOff>552450</xdr:colOff>
      <xdr:row>15</xdr:row>
      <xdr:rowOff>3425825</xdr:rowOff>
    </xdr:from>
    <xdr:to>
      <xdr:col>25</xdr:col>
      <xdr:colOff>58737</xdr:colOff>
      <xdr:row>18</xdr:row>
      <xdr:rowOff>605873</xdr:rowOff>
    </xdr:to>
    <xdr:sp macro="" textlink="">
      <xdr:nvSpPr>
        <xdr:cNvPr id="23" name="Speech Bubble: Rectangle with Corners Rounded 5">
          <a:extLst>
            <a:ext uri="{FF2B5EF4-FFF2-40B4-BE49-F238E27FC236}">
              <a16:creationId xmlns:a16="http://schemas.microsoft.com/office/drawing/2014/main" id="{823169EE-EAB1-2CA4-7709-9DBAB43E7C68}"/>
            </a:ext>
            <a:ext uri="{147F2762-F138-4A5C-976F-8EAC2B608ADB}">
              <a16:predDERef xmlns:a16="http://schemas.microsoft.com/office/drawing/2014/main" pred="{5ACF8FF4-FF9A-095D-627D-B7401FDE17D3}"/>
            </a:ext>
          </a:extLst>
        </xdr:cNvPr>
        <xdr:cNvSpPr/>
      </xdr:nvSpPr>
      <xdr:spPr>
        <a:xfrm>
          <a:off x="7029450" y="7435850"/>
          <a:ext cx="2706687"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32</xdr:col>
      <xdr:colOff>653978</xdr:colOff>
      <xdr:row>23</xdr:row>
      <xdr:rowOff>91109</xdr:rowOff>
    </xdr:from>
    <xdr:to>
      <xdr:col>35</xdr:col>
      <xdr:colOff>671584</xdr:colOff>
      <xdr:row>23</xdr:row>
      <xdr:rowOff>393193</xdr:rowOff>
    </xdr:to>
    <xdr:sp macro="" textlink="">
      <xdr:nvSpPr>
        <xdr:cNvPr id="7" name="Speech Bubble: Rectangle with Corners Rounded 6">
          <a:extLst>
            <a:ext uri="{FF2B5EF4-FFF2-40B4-BE49-F238E27FC236}">
              <a16:creationId xmlns:a16="http://schemas.microsoft.com/office/drawing/2014/main" id="{DA1DA19B-2218-D779-7D1C-09B448BD2344}"/>
            </a:ext>
            <a:ext uri="{147F2762-F138-4A5C-976F-8EAC2B608ADB}">
              <a16:predDERef xmlns:a16="http://schemas.microsoft.com/office/drawing/2014/main" pred="{823169EE-EAB1-2CA4-7709-9DBAB43E7C68}"/>
            </a:ext>
          </a:extLst>
        </xdr:cNvPr>
        <xdr:cNvSpPr/>
      </xdr:nvSpPr>
      <xdr:spPr>
        <a:xfrm>
          <a:off x="21857456" y="1789044"/>
          <a:ext cx="2477541" cy="302084"/>
        </a:xfrm>
        <a:prstGeom prst="wedgeRoundRectCallout">
          <a:avLst>
            <a:gd name="adj1" fmla="val -75247"/>
            <a:gd name="adj2" fmla="val 113717"/>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Number of findings is decreasing</a:t>
          </a:r>
          <a:endParaRPr lang="en-US" sz="1100">
            <a:solidFill>
              <a:srgbClr val="FF0000"/>
            </a:solidFill>
          </a:endParaRPr>
        </a:p>
      </xdr:txBody>
    </xdr:sp>
    <xdr:clientData/>
  </xdr:twoCellAnchor>
  <xdr:twoCellAnchor>
    <xdr:from>
      <xdr:col>8</xdr:col>
      <xdr:colOff>184069</xdr:colOff>
      <xdr:row>25</xdr:row>
      <xdr:rowOff>1689293</xdr:rowOff>
    </xdr:from>
    <xdr:to>
      <xdr:col>17</xdr:col>
      <xdr:colOff>577459</xdr:colOff>
      <xdr:row>25</xdr:row>
      <xdr:rowOff>2128776</xdr:rowOff>
    </xdr:to>
    <xdr:sp macro="" textlink="">
      <xdr:nvSpPr>
        <xdr:cNvPr id="55" name="Speech Bubble: Rectangle with Corners Rounded 7">
          <a:extLst>
            <a:ext uri="{FF2B5EF4-FFF2-40B4-BE49-F238E27FC236}">
              <a16:creationId xmlns:a16="http://schemas.microsoft.com/office/drawing/2014/main" id="{BF66FF57-5E69-8B3E-2BE6-F25FBCB957AD}"/>
            </a:ext>
          </a:extLst>
        </xdr:cNvPr>
        <xdr:cNvSpPr/>
      </xdr:nvSpPr>
      <xdr:spPr>
        <a:xfrm>
          <a:off x="4898944" y="5648972"/>
          <a:ext cx="2706604" cy="439483"/>
        </a:xfrm>
        <a:prstGeom prst="wedgeRoundRectCallout">
          <a:avLst>
            <a:gd name="adj1" fmla="val -59823"/>
            <a:gd name="adj2" fmla="val -108084"/>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only 1 finding</a:t>
          </a:r>
          <a:endParaRPr lang="en-US" sz="1100">
            <a:solidFill>
              <a:srgbClr val="FF0000"/>
            </a:solidFill>
          </a:endParaRPr>
        </a:p>
      </xdr:txBody>
    </xdr:sp>
    <xdr:clientData/>
  </xdr:twoCellAnchor>
  <xdr:twoCellAnchor>
    <xdr:from>
      <xdr:col>7</xdr:col>
      <xdr:colOff>237836</xdr:colOff>
      <xdr:row>26</xdr:row>
      <xdr:rowOff>53918</xdr:rowOff>
    </xdr:from>
    <xdr:to>
      <xdr:col>17</xdr:col>
      <xdr:colOff>199880</xdr:colOff>
      <xdr:row>26</xdr:row>
      <xdr:rowOff>992706</xdr:rowOff>
    </xdr:to>
    <xdr:sp macro="" textlink="">
      <xdr:nvSpPr>
        <xdr:cNvPr id="105" name="Speech Bubble: Rectangle with Corners Rounded 8">
          <a:extLst>
            <a:ext uri="{FF2B5EF4-FFF2-40B4-BE49-F238E27FC236}">
              <a16:creationId xmlns:a16="http://schemas.microsoft.com/office/drawing/2014/main" id="{DC198D1F-A565-9AB0-7028-E88459BD039C}"/>
            </a:ext>
          </a:extLst>
        </xdr:cNvPr>
        <xdr:cNvSpPr/>
      </xdr:nvSpPr>
      <xdr:spPr>
        <a:xfrm>
          <a:off x="4544291" y="14531918"/>
          <a:ext cx="2727180" cy="938788"/>
        </a:xfrm>
        <a:prstGeom prst="wedgeRoundRectCallout">
          <a:avLst>
            <a:gd name="adj1" fmla="val -72669"/>
            <a:gd name="adj2" fmla="val 32470"/>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Low productivity </a:t>
          </a:r>
        </a:p>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12</xdr:col>
      <xdr:colOff>466725</xdr:colOff>
      <xdr:row>12</xdr:row>
      <xdr:rowOff>81280</xdr:rowOff>
    </xdr:from>
    <xdr:to>
      <xdr:col>24</xdr:col>
      <xdr:colOff>492442</xdr:colOff>
      <xdr:row>12</xdr:row>
      <xdr:rowOff>785578</xdr:rowOff>
    </xdr:to>
    <xdr:sp macro="" textlink="">
      <xdr:nvSpPr>
        <xdr:cNvPr id="115" name="Speech Bubble: Rectangle with Corners Rounded 3">
          <a:extLst>
            <a:ext uri="{FF2B5EF4-FFF2-40B4-BE49-F238E27FC236}">
              <a16:creationId xmlns:a16="http://schemas.microsoft.com/office/drawing/2014/main" id="{5991D220-49A9-4597-A8D2-26B1FA8226C2}"/>
            </a:ext>
            <a:ext uri="{147F2762-F138-4A5C-976F-8EAC2B608ADB}">
              <a16:predDERef xmlns:a16="http://schemas.microsoft.com/office/drawing/2014/main" pred="{DC198D1F-A565-9AB0-7028-E88459BD039C}"/>
            </a:ext>
          </a:extLst>
        </xdr:cNvPr>
        <xdr:cNvSpPr/>
      </xdr:nvSpPr>
      <xdr:spPr>
        <a:xfrm>
          <a:off x="6943725" y="1643380"/>
          <a:ext cx="2702242"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Move</a:t>
          </a:r>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17</xdr:col>
      <xdr:colOff>433014</xdr:colOff>
      <xdr:row>23</xdr:row>
      <xdr:rowOff>140804</xdr:rowOff>
    </xdr:from>
    <xdr:to>
      <xdr:col>25</xdr:col>
      <xdr:colOff>507626</xdr:colOff>
      <xdr:row>23</xdr:row>
      <xdr:rowOff>584117</xdr:rowOff>
    </xdr:to>
    <xdr:sp macro="" textlink="">
      <xdr:nvSpPr>
        <xdr:cNvPr id="2" name="Speech Bubble: Rectangle with Corners Rounded 3">
          <a:extLst>
            <a:ext uri="{FF2B5EF4-FFF2-40B4-BE49-F238E27FC236}">
              <a16:creationId xmlns:a16="http://schemas.microsoft.com/office/drawing/2014/main" id="{F53FB112-F8FC-4E5A-B177-879DC7F5330B}"/>
            </a:ext>
            <a:ext uri="{147F2762-F138-4A5C-976F-8EAC2B608ADB}">
              <a16:predDERef xmlns:a16="http://schemas.microsoft.com/office/drawing/2014/main" pred="{5991D220-49A9-4597-A8D2-26B1FA8226C2}"/>
            </a:ext>
          </a:extLst>
        </xdr:cNvPr>
        <xdr:cNvSpPr/>
      </xdr:nvSpPr>
      <xdr:spPr>
        <a:xfrm>
          <a:off x="7498079" y="1838739"/>
          <a:ext cx="2700199" cy="443313"/>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Move</a:t>
          </a:r>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46</xdr:col>
      <xdr:colOff>115661</xdr:colOff>
      <xdr:row>23</xdr:row>
      <xdr:rowOff>1381125</xdr:rowOff>
    </xdr:from>
    <xdr:to>
      <xdr:col>48</xdr:col>
      <xdr:colOff>523875</xdr:colOff>
      <xdr:row>23</xdr:row>
      <xdr:rowOff>1683209</xdr:rowOff>
    </xdr:to>
    <xdr:sp macro="" textlink="">
      <xdr:nvSpPr>
        <xdr:cNvPr id="32" name="Speech Bubble: Rectangle with Corners Rounded 6">
          <a:extLst>
            <a:ext uri="{FF2B5EF4-FFF2-40B4-BE49-F238E27FC236}">
              <a16:creationId xmlns:a16="http://schemas.microsoft.com/office/drawing/2014/main" id="{220F71CC-6AFE-4D43-B3B1-258D95F6332E}"/>
            </a:ext>
            <a:ext uri="{147F2762-F138-4A5C-976F-8EAC2B608ADB}">
              <a16:predDERef xmlns:a16="http://schemas.microsoft.com/office/drawing/2014/main" pred="{823169EE-EAB1-2CA4-7709-9DBAB43E7C68}"/>
            </a:ext>
          </a:extLst>
        </xdr:cNvPr>
        <xdr:cNvSpPr/>
      </xdr:nvSpPr>
      <xdr:spPr>
        <a:xfrm>
          <a:off x="38923232" y="3082018"/>
          <a:ext cx="1823357" cy="302084"/>
        </a:xfrm>
        <a:prstGeom prst="wedgeRoundRectCallout">
          <a:avLst>
            <a:gd name="adj1" fmla="val -75247"/>
            <a:gd name="adj2" fmla="val 113717"/>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Specal</a:t>
          </a:r>
          <a:r>
            <a:rPr lang="en-US" sz="1100" baseline="0">
              <a:solidFill>
                <a:srgbClr val="FF0000"/>
              </a:solidFill>
            </a:rPr>
            <a:t> measure</a:t>
          </a:r>
          <a:endParaRPr lang="en-US" sz="1100">
            <a:solidFill>
              <a:srgbClr val="FF0000"/>
            </a:solidFill>
          </a:endParaRPr>
        </a:p>
      </xdr:txBody>
    </xdr:sp>
    <xdr:clientData/>
  </xdr:twoCellAnchor>
  <xdr:twoCellAnchor>
    <xdr:from>
      <xdr:col>31</xdr:col>
      <xdr:colOff>1891394</xdr:colOff>
      <xdr:row>25</xdr:row>
      <xdr:rowOff>319768</xdr:rowOff>
    </xdr:from>
    <xdr:to>
      <xdr:col>34</xdr:col>
      <xdr:colOff>242124</xdr:colOff>
      <xdr:row>25</xdr:row>
      <xdr:rowOff>621852</xdr:rowOff>
    </xdr:to>
    <xdr:sp macro="" textlink="">
      <xdr:nvSpPr>
        <xdr:cNvPr id="60" name="Speech Bubble: Rectangle with Corners Rounded 6">
          <a:extLst>
            <a:ext uri="{FF2B5EF4-FFF2-40B4-BE49-F238E27FC236}">
              <a16:creationId xmlns:a16="http://schemas.microsoft.com/office/drawing/2014/main" id="{13D8BF8F-0F4B-4DE1-A932-2727BB498D31}"/>
            </a:ext>
            <a:ext uri="{147F2762-F138-4A5C-976F-8EAC2B608ADB}">
              <a16:predDERef xmlns:a16="http://schemas.microsoft.com/office/drawing/2014/main" pred="{823169EE-EAB1-2CA4-7709-9DBAB43E7C68}"/>
            </a:ext>
          </a:extLst>
        </xdr:cNvPr>
        <xdr:cNvSpPr/>
      </xdr:nvSpPr>
      <xdr:spPr>
        <a:xfrm>
          <a:off x="20696465" y="4279447"/>
          <a:ext cx="2473695" cy="302084"/>
        </a:xfrm>
        <a:prstGeom prst="wedgeRoundRectCallout">
          <a:avLst>
            <a:gd name="adj1" fmla="val -75247"/>
            <a:gd name="adj2" fmla="val 113717"/>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Number of findings is decreasing</a:t>
          </a:r>
          <a:endParaRPr lang="en-US" sz="1100">
            <a:solidFill>
              <a:srgbClr val="FF0000"/>
            </a:solidFill>
          </a:endParaRPr>
        </a:p>
      </xdr:txBody>
    </xdr:sp>
    <xdr:clientData/>
  </xdr:twoCellAnchor>
  <xdr:twoCellAnchor>
    <xdr:from>
      <xdr:col>35</xdr:col>
      <xdr:colOff>265340</xdr:colOff>
      <xdr:row>25</xdr:row>
      <xdr:rowOff>54429</xdr:rowOff>
    </xdr:from>
    <xdr:to>
      <xdr:col>37</xdr:col>
      <xdr:colOff>306160</xdr:colOff>
      <xdr:row>25</xdr:row>
      <xdr:rowOff>356513</xdr:rowOff>
    </xdr:to>
    <xdr:sp macro="" textlink="">
      <xdr:nvSpPr>
        <xdr:cNvPr id="141" name="Speech Bubble: Rectangle with Corners Rounded 6">
          <a:extLst>
            <a:ext uri="{FF2B5EF4-FFF2-40B4-BE49-F238E27FC236}">
              <a16:creationId xmlns:a16="http://schemas.microsoft.com/office/drawing/2014/main" id="{5FB0F378-9D51-EEFA-AF43-7A684B944BEA}"/>
            </a:ext>
            <a:ext uri="{147F2762-F138-4A5C-976F-8EAC2B608ADB}">
              <a16:predDERef xmlns:a16="http://schemas.microsoft.com/office/drawing/2014/main" pred="{823169EE-EAB1-2CA4-7709-9DBAB43E7C68}"/>
            </a:ext>
          </a:extLst>
        </xdr:cNvPr>
        <xdr:cNvSpPr/>
      </xdr:nvSpPr>
      <xdr:spPr>
        <a:xfrm>
          <a:off x="23887340" y="4014108"/>
          <a:ext cx="1585231" cy="302084"/>
        </a:xfrm>
        <a:prstGeom prst="wedgeRoundRectCallout">
          <a:avLst>
            <a:gd name="adj1" fmla="val 2174"/>
            <a:gd name="adj2" fmla="val 280382"/>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Task1/2 is</a:t>
          </a:r>
          <a:r>
            <a:rPr lang="en-US" altLang="ja-JP" sz="1100" baseline="0">
              <a:solidFill>
                <a:srgbClr val="FF0000"/>
              </a:solidFill>
            </a:rPr>
            <a:t> adjusting</a:t>
          </a:r>
          <a:endParaRPr lang="en-US" sz="1100">
            <a:solidFill>
              <a:srgbClr val="FF0000"/>
            </a:solidFill>
          </a:endParaRPr>
        </a:p>
      </xdr:txBody>
    </xdr:sp>
    <xdr:clientData/>
  </xdr:twoCellAnchor>
  <xdr:twoCellAnchor>
    <xdr:from>
      <xdr:col>1</xdr:col>
      <xdr:colOff>156482</xdr:colOff>
      <xdr:row>23</xdr:row>
      <xdr:rowOff>115662</xdr:rowOff>
    </xdr:from>
    <xdr:to>
      <xdr:col>3</xdr:col>
      <xdr:colOff>75583</xdr:colOff>
      <xdr:row>23</xdr:row>
      <xdr:rowOff>707342</xdr:rowOff>
    </xdr:to>
    <xdr:sp macro="" textlink="">
      <xdr:nvSpPr>
        <xdr:cNvPr id="140" name="Speech Bubble: Rectangle with Corners Rounded 1">
          <a:extLst>
            <a:ext uri="{FF2B5EF4-FFF2-40B4-BE49-F238E27FC236}">
              <a16:creationId xmlns:a16="http://schemas.microsoft.com/office/drawing/2014/main" id="{3CBDF9B5-C7A7-4A6D-B542-814E73540726}"/>
            </a:ext>
          </a:extLst>
        </xdr:cNvPr>
        <xdr:cNvSpPr/>
      </xdr:nvSpPr>
      <xdr:spPr>
        <a:xfrm>
          <a:off x="326571" y="1816555"/>
          <a:ext cx="2089441" cy="591680"/>
        </a:xfrm>
        <a:prstGeom prst="wedgeRoundRectCallout">
          <a:avLst>
            <a:gd name="adj1" fmla="val -40824"/>
            <a:gd name="adj2" fmla="val 1045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p>
        <a:p>
          <a:pPr algn="l"/>
          <a:r>
            <a:rPr lang="en-US" sz="1100">
              <a:solidFill>
                <a:srgbClr val="FF0000"/>
              </a:solidFill>
            </a:rPr>
            <a:t>#Quality is bad due to small Ks</a:t>
          </a:r>
        </a:p>
      </xdr:txBody>
    </xdr:sp>
    <xdr:clientData/>
  </xdr:twoCellAnchor>
  <xdr:twoCellAnchor>
    <xdr:from>
      <xdr:col>1</xdr:col>
      <xdr:colOff>367393</xdr:colOff>
      <xdr:row>25</xdr:row>
      <xdr:rowOff>428625</xdr:rowOff>
    </xdr:from>
    <xdr:to>
      <xdr:col>3</xdr:col>
      <xdr:colOff>286494</xdr:colOff>
      <xdr:row>25</xdr:row>
      <xdr:rowOff>790350</xdr:rowOff>
    </xdr:to>
    <xdr:sp macro="" textlink="">
      <xdr:nvSpPr>
        <xdr:cNvPr id="143" name="Speech Bubble: Rectangle with Corners Rounded 1">
          <a:extLst>
            <a:ext uri="{FF2B5EF4-FFF2-40B4-BE49-F238E27FC236}">
              <a16:creationId xmlns:a16="http://schemas.microsoft.com/office/drawing/2014/main" id="{53E117FF-4351-40CC-BE27-1B9B40F7F959}"/>
            </a:ext>
          </a:extLst>
        </xdr:cNvPr>
        <xdr:cNvSpPr/>
      </xdr:nvSpPr>
      <xdr:spPr>
        <a:xfrm>
          <a:off x="537482" y="4388304"/>
          <a:ext cx="2089441" cy="361725"/>
        </a:xfrm>
        <a:prstGeom prst="wedgeRoundRectCallout">
          <a:avLst>
            <a:gd name="adj1" fmla="val -45708"/>
            <a:gd name="adj2" fmla="val 121459"/>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endParaRPr lang="en-US"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445547</xdr:colOff>
      <xdr:row>9</xdr:row>
      <xdr:rowOff>337345</xdr:rowOff>
    </xdr:from>
    <xdr:to>
      <xdr:col>16</xdr:col>
      <xdr:colOff>165396</xdr:colOff>
      <xdr:row>9</xdr:row>
      <xdr:rowOff>1012587</xdr:rowOff>
    </xdr:to>
    <xdr:sp macro="" textlink="">
      <xdr:nvSpPr>
        <xdr:cNvPr id="631" name="Speech Bubble: Rectangle with Corners Rounded 1">
          <a:extLst>
            <a:ext uri="{FF2B5EF4-FFF2-40B4-BE49-F238E27FC236}">
              <a16:creationId xmlns:a16="http://schemas.microsoft.com/office/drawing/2014/main" id="{4448468E-002B-4B5D-B592-26C1B8B524D4}"/>
            </a:ext>
          </a:extLst>
        </xdr:cNvPr>
        <xdr:cNvSpPr/>
      </xdr:nvSpPr>
      <xdr:spPr>
        <a:xfrm>
          <a:off x="5692235" y="2218533"/>
          <a:ext cx="2942474" cy="675242"/>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Need more evaluation data</a:t>
          </a:r>
          <a:br>
            <a:rPr lang="en-US" altLang="ja-JP" sz="1100">
              <a:solidFill>
                <a:srgbClr val="FF0000"/>
              </a:solidFill>
            </a:rPr>
          </a:br>
          <a:r>
            <a:rPr lang="ja-JP" altLang="en-US" sz="1100">
              <a:solidFill>
                <a:srgbClr val="FF0000"/>
              </a:solidFill>
            </a:rPr>
            <a:t>　→</a:t>
          </a:r>
          <a:r>
            <a:rPr lang="en-US" sz="1100">
              <a:solidFill>
                <a:srgbClr val="FF0000"/>
              </a:solidFill>
            </a:rPr>
            <a:t>Expedite review</a:t>
          </a:r>
          <a:r>
            <a:rPr lang="en-US" sz="1100" baseline="0">
              <a:solidFill>
                <a:srgbClr val="FF0000"/>
              </a:solidFill>
            </a:rPr>
            <a:t> request to FXS</a:t>
          </a:r>
          <a:r>
            <a:rPr lang="ja-JP" altLang="en-US" sz="1100" baseline="0">
              <a:solidFill>
                <a:srgbClr val="FF0000"/>
              </a:solidFill>
            </a:rPr>
            <a:t>★</a:t>
          </a:r>
          <a:endParaRPr lang="en-US" sz="1100">
            <a:solidFill>
              <a:srgbClr val="FF0000"/>
            </a:solidFill>
          </a:endParaRPr>
        </a:p>
      </xdr:txBody>
    </xdr:sp>
    <xdr:clientData/>
  </xdr:twoCellAnchor>
  <xdr:twoCellAnchor>
    <xdr:from>
      <xdr:col>39</xdr:col>
      <xdr:colOff>270590</xdr:colOff>
      <xdr:row>19</xdr:row>
      <xdr:rowOff>73699</xdr:rowOff>
    </xdr:from>
    <xdr:to>
      <xdr:col>43</xdr:col>
      <xdr:colOff>245348</xdr:colOff>
      <xdr:row>19</xdr:row>
      <xdr:rowOff>486720</xdr:rowOff>
    </xdr:to>
    <xdr:sp macro="" textlink="">
      <xdr:nvSpPr>
        <xdr:cNvPr id="296" name="Speech Bubble: Rectangle with Corners Rounded 10">
          <a:extLst>
            <a:ext uri="{FF2B5EF4-FFF2-40B4-BE49-F238E27FC236}">
              <a16:creationId xmlns:a16="http://schemas.microsoft.com/office/drawing/2014/main" id="{68FC4E88-D19F-4170-BC0C-34991A5F4CEF}"/>
            </a:ext>
          </a:extLst>
        </xdr:cNvPr>
        <xdr:cNvSpPr/>
      </xdr:nvSpPr>
      <xdr:spPr>
        <a:xfrm>
          <a:off x="35970290" y="19476124"/>
          <a:ext cx="3032283" cy="413021"/>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In Kaizen phase, peformance is getting better</a:t>
          </a:r>
        </a:p>
      </xdr:txBody>
    </xdr:sp>
    <xdr:clientData/>
  </xdr:twoCellAnchor>
  <xdr:twoCellAnchor>
    <xdr:from>
      <xdr:col>8</xdr:col>
      <xdr:colOff>282438</xdr:colOff>
      <xdr:row>24</xdr:row>
      <xdr:rowOff>141701</xdr:rowOff>
    </xdr:from>
    <xdr:to>
      <xdr:col>14</xdr:col>
      <xdr:colOff>289063</xdr:colOff>
      <xdr:row>24</xdr:row>
      <xdr:rowOff>926523</xdr:rowOff>
    </xdr:to>
    <xdr:sp macro="" textlink="">
      <xdr:nvSpPr>
        <xdr:cNvPr id="499" name="Speech Bubble: Rectangle with Corners Rounded 13">
          <a:extLst>
            <a:ext uri="{FF2B5EF4-FFF2-40B4-BE49-F238E27FC236}">
              <a16:creationId xmlns:a16="http://schemas.microsoft.com/office/drawing/2014/main" id="{B38DB8FD-3BA5-47C8-8D62-AD4EBB20FADB}"/>
            </a:ext>
          </a:extLst>
        </xdr:cNvPr>
        <xdr:cNvSpPr/>
      </xdr:nvSpPr>
      <xdr:spPr>
        <a:xfrm>
          <a:off x="5079574" y="4886883"/>
          <a:ext cx="2760216" cy="784822"/>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sz="1100">
              <a:solidFill>
                <a:srgbClr val="FF0000"/>
              </a:solidFill>
            </a:rPr>
            <a:t>Expedite review</a:t>
          </a:r>
          <a:r>
            <a:rPr lang="en-US" sz="1100" baseline="0">
              <a:solidFill>
                <a:srgbClr val="FF0000"/>
              </a:solidFill>
            </a:rPr>
            <a:t> request to FXS</a:t>
          </a:r>
          <a:r>
            <a:rPr lang="ja-JP" altLang="en-US" sz="1100" baseline="0">
              <a:solidFill>
                <a:srgbClr val="FF0000"/>
              </a:solidFill>
            </a:rPr>
            <a:t>★</a:t>
          </a:r>
          <a:br>
            <a:rPr lang="en-US" altLang="ja-JP" sz="1100" baseline="0">
              <a:solidFill>
                <a:srgbClr val="FF0000"/>
              </a:solidFill>
            </a:rPr>
          </a:br>
          <a:r>
            <a:rPr lang="en-US" altLang="ja-JP" sz="1100" baseline="0">
              <a:solidFill>
                <a:srgbClr val="FF0000"/>
              </a:solidFill>
            </a:rPr>
            <a:t>     #Task3/4/5 are now reviewed by FXS</a:t>
          </a:r>
          <a:endParaRPr lang="en-US" sz="1100">
            <a:solidFill>
              <a:srgbClr val="FF0000"/>
            </a:solidFill>
          </a:endParaRPr>
        </a:p>
      </xdr:txBody>
    </xdr:sp>
    <xdr:clientData/>
  </xdr:twoCellAnchor>
  <xdr:twoCellAnchor>
    <xdr:from>
      <xdr:col>13</xdr:col>
      <xdr:colOff>282637</xdr:colOff>
      <xdr:row>11</xdr:row>
      <xdr:rowOff>1369112</xdr:rowOff>
    </xdr:from>
    <xdr:to>
      <xdr:col>16</xdr:col>
      <xdr:colOff>403679</xdr:colOff>
      <xdr:row>11</xdr:row>
      <xdr:rowOff>1677124</xdr:rowOff>
    </xdr:to>
    <xdr:sp macro="" textlink="">
      <xdr:nvSpPr>
        <xdr:cNvPr id="316" name="Speech Bubble: Rectangle with Corners Rounded 2">
          <a:extLst>
            <a:ext uri="{FF2B5EF4-FFF2-40B4-BE49-F238E27FC236}">
              <a16:creationId xmlns:a16="http://schemas.microsoft.com/office/drawing/2014/main" id="{785C1D13-D11C-39BA-CF99-3DFA00537129}"/>
            </a:ext>
          </a:extLst>
        </xdr:cNvPr>
        <xdr:cNvSpPr/>
      </xdr:nvSpPr>
      <xdr:spPr>
        <a:xfrm>
          <a:off x="7370825" y="3250300"/>
          <a:ext cx="1502167" cy="308012"/>
        </a:xfrm>
        <a:prstGeom prst="wedgeRoundRectCallout">
          <a:avLst>
            <a:gd name="adj1" fmla="val -73051"/>
            <a:gd name="adj2" fmla="val -54510"/>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u="none">
              <a:solidFill>
                <a:srgbClr val="FF0000"/>
              </a:solidFill>
            </a:rPr>
            <a:t>Getting better</a:t>
          </a:r>
        </a:p>
      </xdr:txBody>
    </xdr:sp>
    <xdr:clientData/>
  </xdr:twoCellAnchor>
  <xdr:twoCellAnchor>
    <xdr:from>
      <xdr:col>11</xdr:col>
      <xdr:colOff>48880</xdr:colOff>
      <xdr:row>14</xdr:row>
      <xdr:rowOff>1041433</xdr:rowOff>
    </xdr:from>
    <xdr:to>
      <xdr:col>16</xdr:col>
      <xdr:colOff>124239</xdr:colOff>
      <xdr:row>14</xdr:row>
      <xdr:rowOff>1701820</xdr:rowOff>
    </xdr:to>
    <xdr:sp macro="" textlink="">
      <xdr:nvSpPr>
        <xdr:cNvPr id="72" name="Speech Bubble: Rectangle with Corners Rounded 2">
          <a:extLst>
            <a:ext uri="{FF2B5EF4-FFF2-40B4-BE49-F238E27FC236}">
              <a16:creationId xmlns:a16="http://schemas.microsoft.com/office/drawing/2014/main" id="{9B9A0AD3-A118-CDDE-8485-DB41A2D5C159}"/>
            </a:ext>
          </a:extLst>
        </xdr:cNvPr>
        <xdr:cNvSpPr/>
      </xdr:nvSpPr>
      <xdr:spPr>
        <a:xfrm>
          <a:off x="6202858" y="4934259"/>
          <a:ext cx="2353077" cy="660387"/>
        </a:xfrm>
        <a:prstGeom prst="wedgeRoundRectCallout">
          <a:avLst>
            <a:gd name="adj1" fmla="val -82529"/>
            <a:gd name="adj2" fmla="val 6160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Task3-5 are pending review</a:t>
          </a:r>
          <a:br>
            <a:rPr lang="en-US" altLang="ja-JP" sz="1100" baseline="0">
              <a:solidFill>
                <a:srgbClr val="FF0000"/>
              </a:solidFill>
            </a:rPr>
          </a:br>
          <a:r>
            <a:rPr lang="ja-JP" altLang="en-US" sz="1100" baseline="0">
              <a:solidFill>
                <a:srgbClr val="FF0000"/>
              </a:solidFill>
            </a:rPr>
            <a:t>・</a:t>
          </a:r>
          <a:r>
            <a:rPr lang="en-US" altLang="ja-JP" sz="1100" baseline="0">
              <a:solidFill>
                <a:srgbClr val="FF0000"/>
              </a:solidFill>
            </a:rPr>
            <a:t>Advance 4tasks of Kaizen phase</a:t>
          </a:r>
        </a:p>
      </xdr:txBody>
    </xdr:sp>
    <xdr:clientData/>
  </xdr:twoCellAnchor>
  <xdr:twoCellAnchor>
    <xdr:from>
      <xdr:col>14</xdr:col>
      <xdr:colOff>49695</xdr:colOff>
      <xdr:row>19</xdr:row>
      <xdr:rowOff>340001</xdr:rowOff>
    </xdr:from>
    <xdr:to>
      <xdr:col>19</xdr:col>
      <xdr:colOff>185522</xdr:colOff>
      <xdr:row>19</xdr:row>
      <xdr:rowOff>1041124</xdr:rowOff>
    </xdr:to>
    <xdr:sp macro="" textlink="">
      <xdr:nvSpPr>
        <xdr:cNvPr id="369" name="Speech Bubble: Rectangle with Corners Rounded 6">
          <a:extLst>
            <a:ext uri="{FF2B5EF4-FFF2-40B4-BE49-F238E27FC236}">
              <a16:creationId xmlns:a16="http://schemas.microsoft.com/office/drawing/2014/main" id="{00706E01-8C84-4892-AFC4-37FA6D77FD65}"/>
            </a:ext>
          </a:extLst>
        </xdr:cNvPr>
        <xdr:cNvSpPr/>
      </xdr:nvSpPr>
      <xdr:spPr>
        <a:xfrm>
          <a:off x="7597912" y="13813044"/>
          <a:ext cx="2714480" cy="701123"/>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10</xdr:col>
      <xdr:colOff>338482</xdr:colOff>
      <xdr:row>20</xdr:row>
      <xdr:rowOff>532815</xdr:rowOff>
    </xdr:from>
    <xdr:to>
      <xdr:col>16</xdr:col>
      <xdr:colOff>303136</xdr:colOff>
      <xdr:row>20</xdr:row>
      <xdr:rowOff>1014099</xdr:rowOff>
    </xdr:to>
    <xdr:sp macro="" textlink="">
      <xdr:nvSpPr>
        <xdr:cNvPr id="383" name="Speech Bubble: Rectangle with Corners Rounded 7">
          <a:extLst>
            <a:ext uri="{FF2B5EF4-FFF2-40B4-BE49-F238E27FC236}">
              <a16:creationId xmlns:a16="http://schemas.microsoft.com/office/drawing/2014/main" id="{1D0FA594-32BB-9D55-C817-EB3E2620141C}"/>
            </a:ext>
          </a:extLst>
        </xdr:cNvPr>
        <xdr:cNvSpPr/>
      </xdr:nvSpPr>
      <xdr:spPr>
        <a:xfrm>
          <a:off x="6053482" y="17236076"/>
          <a:ext cx="2714480" cy="481284"/>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32</xdr:col>
      <xdr:colOff>67687</xdr:colOff>
      <xdr:row>22</xdr:row>
      <xdr:rowOff>377333</xdr:rowOff>
    </xdr:from>
    <xdr:to>
      <xdr:col>35</xdr:col>
      <xdr:colOff>315146</xdr:colOff>
      <xdr:row>22</xdr:row>
      <xdr:rowOff>1030917</xdr:rowOff>
    </xdr:to>
    <xdr:sp macro="" textlink="">
      <xdr:nvSpPr>
        <xdr:cNvPr id="513" name="Speech Bubble: Rectangle with Corners Rounded 9">
          <a:extLst>
            <a:ext uri="{FF2B5EF4-FFF2-40B4-BE49-F238E27FC236}">
              <a16:creationId xmlns:a16="http://schemas.microsoft.com/office/drawing/2014/main" id="{5A417B9B-BD58-4EB5-ADA9-1FF31781AA7A}"/>
            </a:ext>
          </a:extLst>
        </xdr:cNvPr>
        <xdr:cNvSpPr/>
      </xdr:nvSpPr>
      <xdr:spPr>
        <a:xfrm>
          <a:off x="22809154" y="19393466"/>
          <a:ext cx="2491125" cy="653584"/>
        </a:xfrm>
        <a:prstGeom prst="wedgeRoundRectCallout">
          <a:avLst>
            <a:gd name="adj1" fmla="val 56859"/>
            <a:gd name="adj2" fmla="val 44483"/>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The reason why</a:t>
          </a:r>
          <a:r>
            <a:rPr lang="en-US" altLang="ja-JP" sz="1100" baseline="0">
              <a:solidFill>
                <a:srgbClr val="FF0000"/>
              </a:solidFill>
            </a:rPr>
            <a:t> progress is slow even if the member is high, high</a:t>
          </a:r>
          <a:r>
            <a:rPr lang="ja-JP" altLang="en-US" sz="1100" baseline="0">
              <a:solidFill>
                <a:srgbClr val="FF0000"/>
              </a:solidFill>
            </a:rPr>
            <a:t>★</a:t>
          </a:r>
          <a:endParaRPr lang="en-US" sz="1100">
            <a:solidFill>
              <a:srgbClr val="FF0000"/>
            </a:solidFill>
          </a:endParaRPr>
        </a:p>
      </xdr:txBody>
    </xdr:sp>
    <xdr:clientData/>
  </xdr:twoCellAnchor>
  <xdr:twoCellAnchor>
    <xdr:from>
      <xdr:col>32</xdr:col>
      <xdr:colOff>627959</xdr:colOff>
      <xdr:row>27</xdr:row>
      <xdr:rowOff>355246</xdr:rowOff>
    </xdr:from>
    <xdr:to>
      <xdr:col>36</xdr:col>
      <xdr:colOff>62618</xdr:colOff>
      <xdr:row>27</xdr:row>
      <xdr:rowOff>1008830</xdr:rowOff>
    </xdr:to>
    <xdr:sp macro="" textlink="">
      <xdr:nvSpPr>
        <xdr:cNvPr id="524" name="Speech Bubble: Rectangle with Corners Rounded 35">
          <a:extLst>
            <a:ext uri="{FF2B5EF4-FFF2-40B4-BE49-F238E27FC236}">
              <a16:creationId xmlns:a16="http://schemas.microsoft.com/office/drawing/2014/main" id="{A3D5744A-3767-E59C-8C6F-CED57C166BDA}"/>
            </a:ext>
          </a:extLst>
        </xdr:cNvPr>
        <xdr:cNvSpPr/>
      </xdr:nvSpPr>
      <xdr:spPr>
        <a:xfrm>
          <a:off x="23369426" y="23858713"/>
          <a:ext cx="2491125" cy="653584"/>
        </a:xfrm>
        <a:prstGeom prst="wedgeRoundRectCallout">
          <a:avLst>
            <a:gd name="adj1" fmla="val 56859"/>
            <a:gd name="adj2" fmla="val 44483"/>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The reason why</a:t>
          </a:r>
          <a:r>
            <a:rPr lang="en-US" altLang="ja-JP" sz="1100" baseline="0">
              <a:solidFill>
                <a:srgbClr val="FF0000"/>
              </a:solidFill>
            </a:rPr>
            <a:t> progress is slow even if the member is high, high</a:t>
          </a:r>
          <a:r>
            <a:rPr lang="ja-JP" altLang="en-US" sz="1100" baseline="0">
              <a:solidFill>
                <a:srgbClr val="FF0000"/>
              </a:solidFill>
            </a:rPr>
            <a:t>★</a:t>
          </a:r>
          <a:endParaRPr lang="en-US" sz="1100">
            <a:solidFill>
              <a:srgbClr val="FF0000"/>
            </a:solidFill>
          </a:endParaRPr>
        </a:p>
      </xdr:txBody>
    </xdr:sp>
    <xdr:clientData/>
  </xdr:twoCellAnchor>
  <xdr:twoCellAnchor>
    <xdr:from>
      <xdr:col>12</xdr:col>
      <xdr:colOff>447260</xdr:colOff>
      <xdr:row>22</xdr:row>
      <xdr:rowOff>176695</xdr:rowOff>
    </xdr:from>
    <xdr:to>
      <xdr:col>18</xdr:col>
      <xdr:colOff>191045</xdr:colOff>
      <xdr:row>22</xdr:row>
      <xdr:rowOff>880993</xdr:rowOff>
    </xdr:to>
    <xdr:sp macro="" textlink="">
      <xdr:nvSpPr>
        <xdr:cNvPr id="503" name="Speech Bubble: Rectangle with Corners Rounded 48">
          <a:extLst>
            <a:ext uri="{FF2B5EF4-FFF2-40B4-BE49-F238E27FC236}">
              <a16:creationId xmlns:a16="http://schemas.microsoft.com/office/drawing/2014/main" id="{F1897E30-1C06-44B5-9A79-B914B069AF81}"/>
            </a:ext>
          </a:extLst>
        </xdr:cNvPr>
        <xdr:cNvSpPr/>
      </xdr:nvSpPr>
      <xdr:spPr>
        <a:xfrm>
          <a:off x="7078869" y="19281912"/>
          <a:ext cx="2714480"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10</xdr:col>
      <xdr:colOff>414130</xdr:colOff>
      <xdr:row>27</xdr:row>
      <xdr:rowOff>364435</xdr:rowOff>
    </xdr:from>
    <xdr:to>
      <xdr:col>16</xdr:col>
      <xdr:colOff>378784</xdr:colOff>
      <xdr:row>27</xdr:row>
      <xdr:rowOff>1068733</xdr:rowOff>
    </xdr:to>
    <xdr:sp macro="" textlink="">
      <xdr:nvSpPr>
        <xdr:cNvPr id="505" name="Speech Bubble: Rectangle with Corners Rounded 49">
          <a:extLst>
            <a:ext uri="{FF2B5EF4-FFF2-40B4-BE49-F238E27FC236}">
              <a16:creationId xmlns:a16="http://schemas.microsoft.com/office/drawing/2014/main" id="{9254798E-80CC-4C91-A778-C3C6DE039E45}"/>
            </a:ext>
          </a:extLst>
        </xdr:cNvPr>
        <xdr:cNvSpPr/>
      </xdr:nvSpPr>
      <xdr:spPr>
        <a:xfrm>
          <a:off x="6129130" y="23947783"/>
          <a:ext cx="2714480"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39</xdr:col>
      <xdr:colOff>447524</xdr:colOff>
      <xdr:row>19</xdr:row>
      <xdr:rowOff>1916491</xdr:rowOff>
    </xdr:from>
    <xdr:to>
      <xdr:col>42</xdr:col>
      <xdr:colOff>3145</xdr:colOff>
      <xdr:row>19</xdr:row>
      <xdr:rowOff>3050419</xdr:rowOff>
    </xdr:to>
    <xdr:sp macro="" textlink="">
      <xdr:nvSpPr>
        <xdr:cNvPr id="518" name="Speech Bubble: Rectangle with Corners Rounded 8">
          <a:extLst>
            <a:ext uri="{FF2B5EF4-FFF2-40B4-BE49-F238E27FC236}">
              <a16:creationId xmlns:a16="http://schemas.microsoft.com/office/drawing/2014/main" id="{EC919839-545E-47E7-8804-65100D48B244}"/>
            </a:ext>
            <a:ext uri="{147F2762-F138-4A5C-976F-8EAC2B608ADB}">
              <a16:predDERef xmlns:a16="http://schemas.microsoft.com/office/drawing/2014/main" pred="{21FF0D3F-FA7E-47FD-A719-337BB76CFEDA}"/>
            </a:ext>
          </a:extLst>
        </xdr:cNvPr>
        <xdr:cNvSpPr/>
      </xdr:nvSpPr>
      <xdr:spPr>
        <a:xfrm>
          <a:off x="33188124" y="15293824"/>
          <a:ext cx="1680754" cy="1133928"/>
        </a:xfrm>
        <a:prstGeom prst="wedgeRoundRectCallout">
          <a:avLst>
            <a:gd name="adj1" fmla="val -72347"/>
            <a:gd name="adj2" fmla="val -62018"/>
            <a:gd name="adj3" fmla="val 16667"/>
          </a:avLst>
        </a:prstGeom>
        <a:solidFill>
          <a:schemeClr val="accent4">
            <a:lumMod val="20000"/>
            <a:lumOff val="80000"/>
          </a:schemeClr>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How is the progress kaizen task? Is</a:t>
          </a:r>
          <a:r>
            <a:rPr lang="en-US" sz="1100" baseline="0">
              <a:solidFill>
                <a:sysClr val="windowText" lastClr="000000"/>
              </a:solidFill>
            </a:rPr>
            <a:t> there any potential impact on task completion due to delays in Ikan task completion?</a:t>
          </a:r>
          <a:endParaRPr lang="en-US" sz="1100">
            <a:solidFill>
              <a:sysClr val="windowText" lastClr="000000"/>
            </a:solidFill>
          </a:endParaRPr>
        </a:p>
      </xdr:txBody>
    </xdr:sp>
    <xdr:clientData/>
  </xdr:twoCellAnchor>
  <xdr:twoCellAnchor>
    <xdr:from>
      <xdr:col>38</xdr:col>
      <xdr:colOff>1067174</xdr:colOff>
      <xdr:row>16</xdr:row>
      <xdr:rowOff>961997</xdr:rowOff>
    </xdr:from>
    <xdr:to>
      <xdr:col>38</xdr:col>
      <xdr:colOff>2764015</xdr:colOff>
      <xdr:row>16</xdr:row>
      <xdr:rowOff>1862817</xdr:rowOff>
    </xdr:to>
    <xdr:sp macro="" textlink="">
      <xdr:nvSpPr>
        <xdr:cNvPr id="3" name="Speech Bubble: Rectangle with Corners Rounded 8">
          <a:extLst>
            <a:ext uri="{FF2B5EF4-FFF2-40B4-BE49-F238E27FC236}">
              <a16:creationId xmlns:a16="http://schemas.microsoft.com/office/drawing/2014/main" id="{1EE459FC-19C9-4D28-9CC4-029DE2C7BF98}"/>
            </a:ext>
            <a:ext uri="{147F2762-F138-4A5C-976F-8EAC2B608ADB}">
              <a16:predDERef xmlns:a16="http://schemas.microsoft.com/office/drawing/2014/main" pred="{21FF0D3F-FA7E-47FD-A719-337BB76CFEDA}"/>
            </a:ext>
          </a:extLst>
        </xdr:cNvPr>
        <xdr:cNvSpPr/>
      </xdr:nvSpPr>
      <xdr:spPr>
        <a:xfrm>
          <a:off x="33688031" y="21445283"/>
          <a:ext cx="1696841" cy="900820"/>
        </a:xfrm>
        <a:prstGeom prst="wedgeRoundRectCallout">
          <a:avLst>
            <a:gd name="adj1" fmla="val -72347"/>
            <a:gd name="adj2" fmla="val -62018"/>
            <a:gd name="adj3" fmla="val 16667"/>
          </a:avLst>
        </a:prstGeom>
        <a:solidFill>
          <a:schemeClr val="accent4">
            <a:lumMod val="20000"/>
            <a:lumOff val="80000"/>
          </a:schemeClr>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Did he proceed</a:t>
          </a:r>
          <a:r>
            <a:rPr lang="en-US" sz="1100" baseline="0">
              <a:solidFill>
                <a:sysClr val="windowText" lastClr="000000"/>
              </a:solidFill>
            </a:rPr>
            <a:t> with kaizen task in advance whie waiting for QA resolution?</a:t>
          </a:r>
          <a:endParaRPr lang="en-US" sz="1100">
            <a:solidFill>
              <a:sysClr val="windowText" lastClr="000000"/>
            </a:solidFill>
          </a:endParaRPr>
        </a:p>
        <a:p>
          <a:pPr algn="l"/>
          <a:r>
            <a:rPr lang="en-US" sz="1100">
              <a:solidFill>
                <a:sysClr val="windowText" lastClr="000000"/>
              </a:solidFill>
            </a:rPr>
            <a:t>How is the progress kaizen task? </a:t>
          </a:r>
        </a:p>
      </xdr:txBody>
    </xdr:sp>
    <xdr:clientData/>
  </xdr:twoCellAnchor>
  <xdr:twoCellAnchor>
    <xdr:from>
      <xdr:col>39</xdr:col>
      <xdr:colOff>506186</xdr:colOff>
      <xdr:row>27</xdr:row>
      <xdr:rowOff>687614</xdr:rowOff>
    </xdr:from>
    <xdr:to>
      <xdr:col>42</xdr:col>
      <xdr:colOff>4234</xdr:colOff>
      <xdr:row>27</xdr:row>
      <xdr:rowOff>1222829</xdr:rowOff>
    </xdr:to>
    <xdr:sp macro="" textlink="">
      <xdr:nvSpPr>
        <xdr:cNvPr id="523" name="Speech Bubble: Rectangle with Corners Rounded 8">
          <a:extLst>
            <a:ext uri="{FF2B5EF4-FFF2-40B4-BE49-F238E27FC236}">
              <a16:creationId xmlns:a16="http://schemas.microsoft.com/office/drawing/2014/main" id="{51059544-2F3A-40F7-865C-4484D1269358}"/>
            </a:ext>
            <a:ext uri="{147F2762-F138-4A5C-976F-8EAC2B608ADB}">
              <a16:predDERef xmlns:a16="http://schemas.microsoft.com/office/drawing/2014/main" pred="{21FF0D3F-FA7E-47FD-A719-337BB76CFEDA}"/>
            </a:ext>
          </a:extLst>
        </xdr:cNvPr>
        <xdr:cNvSpPr/>
      </xdr:nvSpPr>
      <xdr:spPr>
        <a:xfrm>
          <a:off x="33246786" y="24191081"/>
          <a:ext cx="1623181" cy="535215"/>
        </a:xfrm>
        <a:prstGeom prst="wedgeRoundRectCallout">
          <a:avLst>
            <a:gd name="adj1" fmla="val -72347"/>
            <a:gd name="adj2" fmla="val -62018"/>
            <a:gd name="adj3" fmla="val 16667"/>
          </a:avLst>
        </a:prstGeom>
        <a:solidFill>
          <a:schemeClr val="accent4">
            <a:lumMod val="20000"/>
            <a:lumOff val="80000"/>
          </a:schemeClr>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Are these other member's tasks?</a:t>
          </a:r>
        </a:p>
      </xdr:txBody>
    </xdr:sp>
    <xdr:clientData/>
  </xdr:twoCellAnchor>
  <xdr:twoCellAnchor>
    <xdr:from>
      <xdr:col>39</xdr:col>
      <xdr:colOff>488647</xdr:colOff>
      <xdr:row>27</xdr:row>
      <xdr:rowOff>1930400</xdr:rowOff>
    </xdr:from>
    <xdr:to>
      <xdr:col>41</xdr:col>
      <xdr:colOff>655561</xdr:colOff>
      <xdr:row>27</xdr:row>
      <xdr:rowOff>2465615</xdr:rowOff>
    </xdr:to>
    <xdr:sp macro="" textlink="">
      <xdr:nvSpPr>
        <xdr:cNvPr id="522" name="Speech Bubble: Rectangle with Corners Rounded 8">
          <a:extLst>
            <a:ext uri="{FF2B5EF4-FFF2-40B4-BE49-F238E27FC236}">
              <a16:creationId xmlns:a16="http://schemas.microsoft.com/office/drawing/2014/main" id="{525B3F88-C662-4A7A-B22D-A817C349A675}"/>
            </a:ext>
            <a:ext uri="{147F2762-F138-4A5C-976F-8EAC2B608ADB}">
              <a16:predDERef xmlns:a16="http://schemas.microsoft.com/office/drawing/2014/main" pred="{21FF0D3F-FA7E-47FD-A719-337BB76CFEDA}"/>
            </a:ext>
          </a:extLst>
        </xdr:cNvPr>
        <xdr:cNvSpPr/>
      </xdr:nvSpPr>
      <xdr:spPr>
        <a:xfrm>
          <a:off x="33229247" y="25433867"/>
          <a:ext cx="1623181" cy="535215"/>
        </a:xfrm>
        <a:prstGeom prst="wedgeRoundRectCallout">
          <a:avLst>
            <a:gd name="adj1" fmla="val -72347"/>
            <a:gd name="adj2" fmla="val -62018"/>
            <a:gd name="adj3" fmla="val 16667"/>
          </a:avLst>
        </a:prstGeom>
        <a:solidFill>
          <a:schemeClr val="accent4">
            <a:lumMod val="20000"/>
            <a:lumOff val="80000"/>
          </a:schemeClr>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Indicate</a:t>
          </a:r>
          <a:r>
            <a:rPr lang="en-US" sz="1100" baseline="0">
              <a:solidFill>
                <a:sysClr val="windowText" lastClr="000000"/>
              </a:solidFill>
            </a:rPr>
            <a:t> status of kaizen</a:t>
          </a:r>
          <a:endParaRPr lang="en-US" sz="1100">
            <a:solidFill>
              <a:sysClr val="windowText" lastClr="000000"/>
            </a:solidFill>
          </a:endParaRPr>
        </a:p>
      </xdr:txBody>
    </xdr:sp>
    <xdr:clientData/>
  </xdr:twoCellAnchor>
  <xdr:twoCellAnchor>
    <xdr:from>
      <xdr:col>31</xdr:col>
      <xdr:colOff>1170782</xdr:colOff>
      <xdr:row>9</xdr:row>
      <xdr:rowOff>444500</xdr:rowOff>
    </xdr:from>
    <xdr:to>
      <xdr:col>32</xdr:col>
      <xdr:colOff>634920</xdr:colOff>
      <xdr:row>9</xdr:row>
      <xdr:rowOff>819640</xdr:rowOff>
    </xdr:to>
    <xdr:sp macro="" textlink="">
      <xdr:nvSpPr>
        <xdr:cNvPr id="462" name="Speech Bubble: Rectangle with Corners Rounded 1">
          <a:extLst>
            <a:ext uri="{FF2B5EF4-FFF2-40B4-BE49-F238E27FC236}">
              <a16:creationId xmlns:a16="http://schemas.microsoft.com/office/drawing/2014/main" id="{1B1F9B59-9912-4FD8-997E-FC6F73856377}"/>
            </a:ext>
          </a:extLst>
        </xdr:cNvPr>
        <xdr:cNvSpPr/>
      </xdr:nvSpPr>
      <xdr:spPr>
        <a:xfrm>
          <a:off x="23602157" y="2345531"/>
          <a:ext cx="1825544" cy="375140"/>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Request nakajimasan</a:t>
          </a:r>
          <a:r>
            <a:rPr lang="ja-JP" altLang="en-US" sz="1100">
              <a:solidFill>
                <a:srgbClr val="FF0000"/>
              </a:solidFill>
            </a:rPr>
            <a:t>★</a:t>
          </a:r>
          <a:endParaRPr lang="en-US" sz="1100">
            <a:solidFill>
              <a:srgbClr val="FF0000"/>
            </a:solidFill>
          </a:endParaRPr>
        </a:p>
      </xdr:txBody>
    </xdr:sp>
    <xdr:clientData/>
  </xdr:twoCellAnchor>
  <xdr:twoCellAnchor>
    <xdr:from>
      <xdr:col>8</xdr:col>
      <xdr:colOff>286579</xdr:colOff>
      <xdr:row>98</xdr:row>
      <xdr:rowOff>149318</xdr:rowOff>
    </xdr:from>
    <xdr:to>
      <xdr:col>14</xdr:col>
      <xdr:colOff>293204</xdr:colOff>
      <xdr:row>102</xdr:row>
      <xdr:rowOff>93325</xdr:rowOff>
    </xdr:to>
    <xdr:sp macro="" textlink="">
      <xdr:nvSpPr>
        <xdr:cNvPr id="479" name="Speech Bubble: Rectangle with Corners Rounded 13">
          <a:extLst>
            <a:ext uri="{FF2B5EF4-FFF2-40B4-BE49-F238E27FC236}">
              <a16:creationId xmlns:a16="http://schemas.microsoft.com/office/drawing/2014/main" id="{FF3FADB5-1F4F-4ADD-AE77-DA2A27F49B1A}"/>
            </a:ext>
          </a:extLst>
        </xdr:cNvPr>
        <xdr:cNvSpPr/>
      </xdr:nvSpPr>
      <xdr:spPr>
        <a:xfrm>
          <a:off x="5080829" y="21517068"/>
          <a:ext cx="2745063" cy="547257"/>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sz="1100">
              <a:solidFill>
                <a:srgbClr val="FF0000"/>
              </a:solidFill>
            </a:rPr>
            <a:t>Expedite review</a:t>
          </a:r>
          <a:r>
            <a:rPr lang="en-US" sz="1100" baseline="0">
              <a:solidFill>
                <a:srgbClr val="FF0000"/>
              </a:solidFill>
            </a:rPr>
            <a:t> request to FXS</a:t>
          </a:r>
          <a:r>
            <a:rPr lang="ja-JP" altLang="en-US" sz="1100" baseline="0">
              <a:solidFill>
                <a:srgbClr val="FF0000"/>
              </a:solidFill>
            </a:rPr>
            <a:t>★</a:t>
          </a:r>
          <a:endParaRPr lang="en-US" sz="1100">
            <a:solidFill>
              <a:srgbClr val="FF0000"/>
            </a:solidFill>
          </a:endParaRPr>
        </a:p>
      </xdr:txBody>
    </xdr:sp>
    <xdr:clientData/>
  </xdr:twoCellAnchor>
  <xdr:twoCellAnchor>
    <xdr:from>
      <xdr:col>45</xdr:col>
      <xdr:colOff>2310848</xdr:colOff>
      <xdr:row>11</xdr:row>
      <xdr:rowOff>1424608</xdr:rowOff>
    </xdr:from>
    <xdr:to>
      <xdr:col>48</xdr:col>
      <xdr:colOff>486953</xdr:colOff>
      <xdr:row>11</xdr:row>
      <xdr:rowOff>1834657</xdr:rowOff>
    </xdr:to>
    <xdr:sp macro="" textlink="">
      <xdr:nvSpPr>
        <xdr:cNvPr id="629" name="Speech Bubble: Rectangle with Corners Rounded 2">
          <a:extLst>
            <a:ext uri="{FF2B5EF4-FFF2-40B4-BE49-F238E27FC236}">
              <a16:creationId xmlns:a16="http://schemas.microsoft.com/office/drawing/2014/main" id="{299B0432-7D02-42CE-A494-203F40F0DE4D}"/>
            </a:ext>
          </a:extLst>
        </xdr:cNvPr>
        <xdr:cNvSpPr/>
      </xdr:nvSpPr>
      <xdr:spPr>
        <a:xfrm>
          <a:off x="43781870" y="3313043"/>
          <a:ext cx="1944692" cy="410049"/>
        </a:xfrm>
        <a:prstGeom prst="wedgeRoundRectCallout">
          <a:avLst>
            <a:gd name="adj1" fmla="val -66770"/>
            <a:gd name="adj2" fmla="val 1008"/>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Address special measure</a:t>
          </a:r>
        </a:p>
      </xdr:txBody>
    </xdr:sp>
    <xdr:clientData/>
  </xdr:twoCellAnchor>
  <xdr:twoCellAnchor>
    <xdr:from>
      <xdr:col>1</xdr:col>
      <xdr:colOff>920750</xdr:colOff>
      <xdr:row>24</xdr:row>
      <xdr:rowOff>190500</xdr:rowOff>
    </xdr:from>
    <xdr:to>
      <xdr:col>4</xdr:col>
      <xdr:colOff>303503</xdr:colOff>
      <xdr:row>24</xdr:row>
      <xdr:rowOff>552225</xdr:rowOff>
    </xdr:to>
    <xdr:sp macro="" textlink="">
      <xdr:nvSpPr>
        <xdr:cNvPr id="311" name="Speech Bubble: Rectangle with Corners Rounded 1">
          <a:extLst>
            <a:ext uri="{FF2B5EF4-FFF2-40B4-BE49-F238E27FC236}">
              <a16:creationId xmlns:a16="http://schemas.microsoft.com/office/drawing/2014/main" id="{036603C2-6760-4D7E-90E6-11588A1E8F11}"/>
            </a:ext>
          </a:extLst>
        </xdr:cNvPr>
        <xdr:cNvSpPr/>
      </xdr:nvSpPr>
      <xdr:spPr>
        <a:xfrm>
          <a:off x="1095375" y="5222875"/>
          <a:ext cx="2089441" cy="361725"/>
        </a:xfrm>
        <a:prstGeom prst="wedgeRoundRectCallout">
          <a:avLst>
            <a:gd name="adj1" fmla="val -66397"/>
            <a:gd name="adj2" fmla="val 210584"/>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endParaRPr lang="en-US" sz="1100">
            <a:solidFill>
              <a:srgbClr val="FF0000"/>
            </a:solidFill>
          </a:endParaRPr>
        </a:p>
      </xdr:txBody>
    </xdr:sp>
    <xdr:clientData/>
  </xdr:twoCellAnchor>
  <xdr:twoCellAnchor>
    <xdr:from>
      <xdr:col>1</xdr:col>
      <xdr:colOff>936624</xdr:colOff>
      <xdr:row>9</xdr:row>
      <xdr:rowOff>531812</xdr:rowOff>
    </xdr:from>
    <xdr:to>
      <xdr:col>4</xdr:col>
      <xdr:colOff>319377</xdr:colOff>
      <xdr:row>9</xdr:row>
      <xdr:rowOff>893537</xdr:rowOff>
    </xdr:to>
    <xdr:sp macro="" textlink="">
      <xdr:nvSpPr>
        <xdr:cNvPr id="315" name="Speech Bubble: Rectangle with Corners Rounded 1">
          <a:extLst>
            <a:ext uri="{FF2B5EF4-FFF2-40B4-BE49-F238E27FC236}">
              <a16:creationId xmlns:a16="http://schemas.microsoft.com/office/drawing/2014/main" id="{AD20AC82-85BD-42A8-8F72-04ADC810CBE1}"/>
            </a:ext>
          </a:extLst>
        </xdr:cNvPr>
        <xdr:cNvSpPr/>
      </xdr:nvSpPr>
      <xdr:spPr>
        <a:xfrm>
          <a:off x="1111249" y="2413000"/>
          <a:ext cx="2089441" cy="361725"/>
        </a:xfrm>
        <a:prstGeom prst="wedgeRoundRectCallout">
          <a:avLst>
            <a:gd name="adj1" fmla="val -66397"/>
            <a:gd name="adj2" fmla="val 210584"/>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endParaRPr lang="en-US" sz="1100">
            <a:solidFill>
              <a:srgbClr val="FF0000"/>
            </a:solidFill>
          </a:endParaRPr>
        </a:p>
      </xdr:txBody>
    </xdr:sp>
    <xdr:clientData/>
  </xdr:twoCellAnchor>
  <xdr:twoCellAnchor>
    <xdr:from>
      <xdr:col>1</xdr:col>
      <xdr:colOff>658813</xdr:colOff>
      <xdr:row>11</xdr:row>
      <xdr:rowOff>146594</xdr:rowOff>
    </xdr:from>
    <xdr:to>
      <xdr:col>4</xdr:col>
      <xdr:colOff>370416</xdr:colOff>
      <xdr:row>11</xdr:row>
      <xdr:rowOff>762000</xdr:rowOff>
    </xdr:to>
    <xdr:sp macro="" textlink="">
      <xdr:nvSpPr>
        <xdr:cNvPr id="686" name="Speech Bubble: Rectangle with Corners Rounded 1">
          <a:extLst>
            <a:ext uri="{FF2B5EF4-FFF2-40B4-BE49-F238E27FC236}">
              <a16:creationId xmlns:a16="http://schemas.microsoft.com/office/drawing/2014/main" id="{47A1B907-2CD6-456C-9D41-F8A522A7B3AB}"/>
            </a:ext>
          </a:extLst>
        </xdr:cNvPr>
        <xdr:cNvSpPr/>
      </xdr:nvSpPr>
      <xdr:spPr>
        <a:xfrm>
          <a:off x="828146" y="1903427"/>
          <a:ext cx="2293937" cy="615406"/>
        </a:xfrm>
        <a:prstGeom prst="wedgeRoundRectCallout">
          <a:avLst>
            <a:gd name="adj1" fmla="val -40824"/>
            <a:gd name="adj2" fmla="val 1045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p>
        <a:p>
          <a:pPr algn="l"/>
          <a:r>
            <a:rPr lang="en-US" sz="1100">
              <a:solidFill>
                <a:srgbClr val="FF0000"/>
              </a:solidFill>
            </a:rPr>
            <a:t>#The latter performance is good</a:t>
          </a:r>
        </a:p>
      </xdr:txBody>
    </xdr:sp>
    <xdr:clientData/>
  </xdr:twoCellAnchor>
  <xdr:twoCellAnchor>
    <xdr:from>
      <xdr:col>1</xdr:col>
      <xdr:colOff>571500</xdr:colOff>
      <xdr:row>14</xdr:row>
      <xdr:rowOff>1309688</xdr:rowOff>
    </xdr:from>
    <xdr:to>
      <xdr:col>3</xdr:col>
      <xdr:colOff>494003</xdr:colOff>
      <xdr:row>14</xdr:row>
      <xdr:rowOff>1671413</xdr:rowOff>
    </xdr:to>
    <xdr:sp macro="" textlink="">
      <xdr:nvSpPr>
        <xdr:cNvPr id="353" name="Speech Bubble: Rectangle with Corners Rounded 1">
          <a:extLst>
            <a:ext uri="{FF2B5EF4-FFF2-40B4-BE49-F238E27FC236}">
              <a16:creationId xmlns:a16="http://schemas.microsoft.com/office/drawing/2014/main" id="{71B54BC8-6BF9-46C6-A9EA-31810EE5AE98}"/>
            </a:ext>
          </a:extLst>
        </xdr:cNvPr>
        <xdr:cNvSpPr/>
      </xdr:nvSpPr>
      <xdr:spPr>
        <a:xfrm>
          <a:off x="746125" y="5349876"/>
          <a:ext cx="2089441" cy="361725"/>
        </a:xfrm>
        <a:prstGeom prst="wedgeRoundRectCallout">
          <a:avLst>
            <a:gd name="adj1" fmla="val -45708"/>
            <a:gd name="adj2" fmla="val 121459"/>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endParaRPr lang="en-US" sz="1100">
            <a:solidFill>
              <a:srgbClr val="FF0000"/>
            </a:solidFill>
          </a:endParaRPr>
        </a:p>
      </xdr:txBody>
    </xdr:sp>
    <xdr:clientData/>
  </xdr:twoCellAnchor>
  <xdr:twoCellAnchor>
    <xdr:from>
      <xdr:col>1</xdr:col>
      <xdr:colOff>452437</xdr:colOff>
      <xdr:row>17</xdr:row>
      <xdr:rowOff>381000</xdr:rowOff>
    </xdr:from>
    <xdr:to>
      <xdr:col>3</xdr:col>
      <xdr:colOff>374940</xdr:colOff>
      <xdr:row>17</xdr:row>
      <xdr:rowOff>869992</xdr:rowOff>
    </xdr:to>
    <xdr:sp macro="" textlink="">
      <xdr:nvSpPr>
        <xdr:cNvPr id="356" name="Speech Bubble: Rectangle with Corners Rounded 1">
          <a:extLst>
            <a:ext uri="{FF2B5EF4-FFF2-40B4-BE49-F238E27FC236}">
              <a16:creationId xmlns:a16="http://schemas.microsoft.com/office/drawing/2014/main" id="{CC06293E-433C-420F-BF3E-8525F1BFAAB3}"/>
            </a:ext>
          </a:extLst>
        </xdr:cNvPr>
        <xdr:cNvSpPr/>
      </xdr:nvSpPr>
      <xdr:spPr>
        <a:xfrm>
          <a:off x="627062" y="8643938"/>
          <a:ext cx="2089441" cy="488992"/>
        </a:xfrm>
        <a:prstGeom prst="wedgeRoundRectCallout">
          <a:avLst>
            <a:gd name="adj1" fmla="val -40824"/>
            <a:gd name="adj2" fmla="val 1045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p>
        <a:p>
          <a:pPr algn="l"/>
          <a:r>
            <a:rPr lang="en-US" sz="1100">
              <a:solidFill>
                <a:srgbClr val="FF0000"/>
              </a:solidFill>
            </a:rPr>
            <a:t>#The latter performance is good</a:t>
          </a:r>
        </a:p>
      </xdr:txBody>
    </xdr:sp>
    <xdr:clientData/>
  </xdr:twoCellAnchor>
  <xdr:twoCellAnchor>
    <xdr:from>
      <xdr:col>1</xdr:col>
      <xdr:colOff>547686</xdr:colOff>
      <xdr:row>20</xdr:row>
      <xdr:rowOff>215153</xdr:rowOff>
    </xdr:from>
    <xdr:to>
      <xdr:col>4</xdr:col>
      <xdr:colOff>395653</xdr:colOff>
      <xdr:row>20</xdr:row>
      <xdr:rowOff>857953</xdr:rowOff>
    </xdr:to>
    <xdr:sp macro="" textlink="">
      <xdr:nvSpPr>
        <xdr:cNvPr id="40" name="Speech Bubble: Rectangle with Corners Rounded 729">
          <a:extLst>
            <a:ext uri="{FF2B5EF4-FFF2-40B4-BE49-F238E27FC236}">
              <a16:creationId xmlns:a16="http://schemas.microsoft.com/office/drawing/2014/main" id="{551D92C2-B899-4C2E-AEFA-FB051500873C}"/>
            </a:ext>
          </a:extLst>
        </xdr:cNvPr>
        <xdr:cNvSpPr/>
      </xdr:nvSpPr>
      <xdr:spPr>
        <a:xfrm>
          <a:off x="709051" y="30399318"/>
          <a:ext cx="2322226" cy="642800"/>
        </a:xfrm>
        <a:prstGeom prst="wedgeRoundRectCallout">
          <a:avLst>
            <a:gd name="adj1" fmla="val -43396"/>
            <a:gd name="adj2" fmla="val 75264"/>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Judged to</a:t>
          </a:r>
          <a:r>
            <a:rPr lang="en-US" altLang="ja-JP" sz="1100" baseline="0">
              <a:solidFill>
                <a:srgbClr val="FF0000"/>
              </a:solidFill>
            </a:rPr>
            <a:t> be released(2024/2/26)</a:t>
          </a:r>
        </a:p>
        <a:p>
          <a:pPr algn="l"/>
          <a:r>
            <a:rPr lang="ja-JP" altLang="en-US" sz="1100" baseline="0">
              <a:solidFill>
                <a:srgbClr val="FF0000"/>
              </a:solidFill>
            </a:rPr>
            <a:t>⇒</a:t>
          </a:r>
          <a:r>
            <a:rPr lang="en-US" altLang="ja-JP" sz="1100" baseline="0">
              <a:solidFill>
                <a:srgbClr val="FF0000"/>
              </a:solidFill>
            </a:rPr>
            <a:t>2024/2/27 Change to Pass(Hirata)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450849</xdr:colOff>
      <xdr:row>14</xdr:row>
      <xdr:rowOff>664148</xdr:rowOff>
    </xdr:from>
    <xdr:to>
      <xdr:col>18</xdr:col>
      <xdr:colOff>215555</xdr:colOff>
      <xdr:row>14</xdr:row>
      <xdr:rowOff>1308597</xdr:rowOff>
    </xdr:to>
    <xdr:sp macro="" textlink="">
      <xdr:nvSpPr>
        <xdr:cNvPr id="83" name="Speech Bubble: Rectangle with Corners Rounded 3">
          <a:extLst>
            <a:ext uri="{FF2B5EF4-FFF2-40B4-BE49-F238E27FC236}">
              <a16:creationId xmlns:a16="http://schemas.microsoft.com/office/drawing/2014/main" id="{7E321C31-A70A-4EAE-9545-7770B20D1FAC}"/>
            </a:ext>
          </a:extLst>
        </xdr:cNvPr>
        <xdr:cNvSpPr/>
      </xdr:nvSpPr>
      <xdr:spPr>
        <a:xfrm>
          <a:off x="7060371" y="6022996"/>
          <a:ext cx="2721597" cy="644449"/>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More data is needed to evaluate </a:t>
          </a:r>
          <a:r>
            <a:rPr lang="ja-JP" altLang="en-US" sz="1100">
              <a:solidFill>
                <a:srgbClr val="FF0000"/>
              </a:solidFill>
            </a:rPr>
            <a:t>★</a:t>
          </a:r>
          <a:endParaRPr lang="en-US" altLang="ja-JP" sz="1100">
            <a:solidFill>
              <a:srgbClr val="FF0000"/>
            </a:solidFill>
          </a:endParaRPr>
        </a:p>
        <a:p>
          <a:pPr algn="l"/>
          <a:r>
            <a:rPr lang="ja-JP" altLang="en-US" sz="1100">
              <a:solidFill>
                <a:srgbClr val="FF0000"/>
              </a:solidFill>
            </a:rPr>
            <a:t>・</a:t>
          </a:r>
          <a:r>
            <a:rPr lang="en-US" altLang="ja-JP" sz="1100" b="1" u="sng">
              <a:solidFill>
                <a:srgbClr val="FF0000"/>
              </a:solidFill>
            </a:rPr>
            <a:t>Need to discuss of release</a:t>
          </a:r>
          <a:r>
            <a:rPr lang="ja-JP" altLang="en-US" sz="1100" b="1" u="sng">
              <a:solidFill>
                <a:srgbClr val="FF0000"/>
              </a:solidFill>
            </a:rPr>
            <a:t>★</a:t>
          </a:r>
          <a:endParaRPr lang="en-US" sz="1100" b="1" u="sng">
            <a:solidFill>
              <a:srgbClr val="FF0000"/>
            </a:solidFill>
          </a:endParaRPr>
        </a:p>
      </xdr:txBody>
    </xdr:sp>
    <xdr:clientData/>
  </xdr:twoCellAnchor>
  <xdr:twoCellAnchor>
    <xdr:from>
      <xdr:col>15</xdr:col>
      <xdr:colOff>268218</xdr:colOff>
      <xdr:row>10</xdr:row>
      <xdr:rowOff>30785</xdr:rowOff>
    </xdr:from>
    <xdr:to>
      <xdr:col>20</xdr:col>
      <xdr:colOff>334610</xdr:colOff>
      <xdr:row>10</xdr:row>
      <xdr:rowOff>738258</xdr:rowOff>
    </xdr:to>
    <xdr:sp macro="" textlink="">
      <xdr:nvSpPr>
        <xdr:cNvPr id="721" name="Speech Bubble: Rectangle with Corners Rounded 2">
          <a:extLst>
            <a:ext uri="{FF2B5EF4-FFF2-40B4-BE49-F238E27FC236}">
              <a16:creationId xmlns:a16="http://schemas.microsoft.com/office/drawing/2014/main" id="{838E69DA-55B8-4EEE-974D-67C69C64264A}"/>
            </a:ext>
          </a:extLst>
        </xdr:cNvPr>
        <xdr:cNvSpPr/>
      </xdr:nvSpPr>
      <xdr:spPr>
        <a:xfrm>
          <a:off x="8274740" y="4818133"/>
          <a:ext cx="2711305" cy="707473"/>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11</xdr:col>
      <xdr:colOff>190914</xdr:colOff>
      <xdr:row>9</xdr:row>
      <xdr:rowOff>376308</xdr:rowOff>
    </xdr:from>
    <xdr:to>
      <xdr:col>17</xdr:col>
      <xdr:colOff>155568</xdr:colOff>
      <xdr:row>9</xdr:row>
      <xdr:rowOff>1080606</xdr:rowOff>
    </xdr:to>
    <xdr:sp macro="" textlink="">
      <xdr:nvSpPr>
        <xdr:cNvPr id="107" name="Speech Bubble: Rectangle with Corners Rounded 3">
          <a:extLst>
            <a:ext uri="{FF2B5EF4-FFF2-40B4-BE49-F238E27FC236}">
              <a16:creationId xmlns:a16="http://schemas.microsoft.com/office/drawing/2014/main" id="{C1156470-C8C5-7515-03D4-A26AC151BC61}"/>
            </a:ext>
          </a:extLst>
        </xdr:cNvPr>
        <xdr:cNvSpPr/>
      </xdr:nvSpPr>
      <xdr:spPr>
        <a:xfrm>
          <a:off x="6364218" y="2270265"/>
          <a:ext cx="2714480"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15</xdr:col>
      <xdr:colOff>334479</xdr:colOff>
      <xdr:row>12</xdr:row>
      <xdr:rowOff>253713</xdr:rowOff>
    </xdr:from>
    <xdr:to>
      <xdr:col>20</xdr:col>
      <xdr:colOff>404046</xdr:colOff>
      <xdr:row>12</xdr:row>
      <xdr:rowOff>893984</xdr:rowOff>
    </xdr:to>
    <xdr:sp macro="" textlink="">
      <xdr:nvSpPr>
        <xdr:cNvPr id="662" name="Speech Bubble: Rectangle with Corners Rounded 4">
          <a:extLst>
            <a:ext uri="{FF2B5EF4-FFF2-40B4-BE49-F238E27FC236}">
              <a16:creationId xmlns:a16="http://schemas.microsoft.com/office/drawing/2014/main" id="{E6B61102-81F3-E29E-9012-59A8485F1EC6}"/>
            </a:ext>
          </a:extLst>
        </xdr:cNvPr>
        <xdr:cNvSpPr/>
      </xdr:nvSpPr>
      <xdr:spPr>
        <a:xfrm>
          <a:off x="8343417" y="2119026"/>
          <a:ext cx="2712754" cy="640271"/>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13</xdr:col>
      <xdr:colOff>132904</xdr:colOff>
      <xdr:row>15</xdr:row>
      <xdr:rowOff>951389</xdr:rowOff>
    </xdr:from>
    <xdr:to>
      <xdr:col>18</xdr:col>
      <xdr:colOff>356328</xdr:colOff>
      <xdr:row>15</xdr:row>
      <xdr:rowOff>1486615</xdr:rowOff>
    </xdr:to>
    <xdr:sp macro="" textlink="">
      <xdr:nvSpPr>
        <xdr:cNvPr id="825" name="Speech Bubble: Rectangle with Corners Rounded 3">
          <a:extLst>
            <a:ext uri="{FF2B5EF4-FFF2-40B4-BE49-F238E27FC236}">
              <a16:creationId xmlns:a16="http://schemas.microsoft.com/office/drawing/2014/main" id="{12F6536B-9802-00BB-74FC-599F0D249C0F}"/>
            </a:ext>
          </a:extLst>
        </xdr:cNvPr>
        <xdr:cNvSpPr/>
      </xdr:nvSpPr>
      <xdr:spPr>
        <a:xfrm>
          <a:off x="7201111" y="16121320"/>
          <a:ext cx="2724010" cy="535226"/>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More data is needed to evaluate </a:t>
          </a:r>
          <a:r>
            <a:rPr lang="ja-JP" altLang="en-US" sz="1100">
              <a:solidFill>
                <a:srgbClr val="FF0000"/>
              </a:solidFill>
            </a:rPr>
            <a:t>★</a:t>
          </a:r>
          <a:endParaRPr lang="en-US" altLang="ja-JP" sz="1100">
            <a:solidFill>
              <a:srgbClr val="FF0000"/>
            </a:solidFill>
          </a:endParaRPr>
        </a:p>
      </xdr:txBody>
    </xdr:sp>
    <xdr:clientData/>
  </xdr:twoCellAnchor>
  <xdr:twoCellAnchor>
    <xdr:from>
      <xdr:col>13</xdr:col>
      <xdr:colOff>197372</xdr:colOff>
      <xdr:row>17</xdr:row>
      <xdr:rowOff>696006</xdr:rowOff>
    </xdr:from>
    <xdr:to>
      <xdr:col>17</xdr:col>
      <xdr:colOff>50133</xdr:colOff>
      <xdr:row>17</xdr:row>
      <xdr:rowOff>1057422</xdr:rowOff>
    </xdr:to>
    <xdr:sp macro="" textlink="">
      <xdr:nvSpPr>
        <xdr:cNvPr id="572" name="Speech Bubble: Rectangle with Corners Rounded 110">
          <a:extLst>
            <a:ext uri="{FF2B5EF4-FFF2-40B4-BE49-F238E27FC236}">
              <a16:creationId xmlns:a16="http://schemas.microsoft.com/office/drawing/2014/main" id="{0981CA4B-E1F6-EB2E-5F0C-1204D42E3EFD}"/>
            </a:ext>
          </a:extLst>
        </xdr:cNvPr>
        <xdr:cNvSpPr/>
      </xdr:nvSpPr>
      <xdr:spPr>
        <a:xfrm>
          <a:off x="7262437" y="12159136"/>
          <a:ext cx="1674935" cy="361416"/>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Getting better</a:t>
          </a:r>
          <a:endParaRPr lang="en-US" sz="1100">
            <a:solidFill>
              <a:srgbClr val="FF0000"/>
            </a:solidFill>
          </a:endParaRPr>
        </a:p>
      </xdr:txBody>
    </xdr:sp>
    <xdr:clientData/>
  </xdr:twoCellAnchor>
  <xdr:twoCellAnchor>
    <xdr:from>
      <xdr:col>12</xdr:col>
      <xdr:colOff>350354</xdr:colOff>
      <xdr:row>18</xdr:row>
      <xdr:rowOff>111264</xdr:rowOff>
    </xdr:from>
    <xdr:to>
      <xdr:col>18</xdr:col>
      <xdr:colOff>90964</xdr:colOff>
      <xdr:row>18</xdr:row>
      <xdr:rowOff>815562</xdr:rowOff>
    </xdr:to>
    <xdr:sp macro="" textlink="">
      <xdr:nvSpPr>
        <xdr:cNvPr id="236" name="Speech Bubble: Rectangle with Corners Rounded 246">
          <a:extLst>
            <a:ext uri="{FF2B5EF4-FFF2-40B4-BE49-F238E27FC236}">
              <a16:creationId xmlns:a16="http://schemas.microsoft.com/office/drawing/2014/main" id="{9E0DA7E0-0979-633E-AAEF-A09201F4E39A}"/>
            </a:ext>
          </a:extLst>
        </xdr:cNvPr>
        <xdr:cNvSpPr/>
      </xdr:nvSpPr>
      <xdr:spPr>
        <a:xfrm>
          <a:off x="6981963" y="21889003"/>
          <a:ext cx="2711305"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33</xdr:col>
      <xdr:colOff>149087</xdr:colOff>
      <xdr:row>21</xdr:row>
      <xdr:rowOff>102648</xdr:rowOff>
    </xdr:from>
    <xdr:to>
      <xdr:col>36</xdr:col>
      <xdr:colOff>379613</xdr:colOff>
      <xdr:row>21</xdr:row>
      <xdr:rowOff>517947</xdr:rowOff>
    </xdr:to>
    <xdr:sp macro="" textlink="">
      <xdr:nvSpPr>
        <xdr:cNvPr id="544" name="Speech Bubble: Rectangle with Corners Rounded 609">
          <a:extLst>
            <a:ext uri="{FF2B5EF4-FFF2-40B4-BE49-F238E27FC236}">
              <a16:creationId xmlns:a16="http://schemas.microsoft.com/office/drawing/2014/main" id="{4A81567E-7402-4E4E-8710-231FE1CF311A}"/>
            </a:ext>
          </a:extLst>
        </xdr:cNvPr>
        <xdr:cNvSpPr/>
      </xdr:nvSpPr>
      <xdr:spPr>
        <a:xfrm>
          <a:off x="26427044" y="26733996"/>
          <a:ext cx="2720830" cy="415299"/>
        </a:xfrm>
        <a:prstGeom prst="wedgeRoundRectCallout">
          <a:avLst>
            <a:gd name="adj1" fmla="val 56859"/>
            <a:gd name="adj2" fmla="val 44483"/>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The reason of low quality is needed</a:t>
          </a:r>
          <a:r>
            <a:rPr lang="ja-JP" altLang="en-US" sz="1100">
              <a:solidFill>
                <a:srgbClr val="FF0000"/>
              </a:solidFill>
            </a:rPr>
            <a:t>★</a:t>
          </a:r>
          <a:endParaRPr lang="en-US" sz="1100">
            <a:solidFill>
              <a:srgbClr val="FF0000"/>
            </a:solidFill>
          </a:endParaRPr>
        </a:p>
      </xdr:txBody>
    </xdr:sp>
    <xdr:clientData/>
  </xdr:twoCellAnchor>
  <xdr:twoCellAnchor>
    <xdr:from>
      <xdr:col>14</xdr:col>
      <xdr:colOff>231913</xdr:colOff>
      <xdr:row>23</xdr:row>
      <xdr:rowOff>88348</xdr:rowOff>
    </xdr:from>
    <xdr:to>
      <xdr:col>19</xdr:col>
      <xdr:colOff>361390</xdr:colOff>
      <xdr:row>23</xdr:row>
      <xdr:rowOff>792646</xdr:rowOff>
    </xdr:to>
    <xdr:sp macro="" textlink="">
      <xdr:nvSpPr>
        <xdr:cNvPr id="545" name="Speech Bubble: Rectangle with Corners Rounded 610">
          <a:extLst>
            <a:ext uri="{FF2B5EF4-FFF2-40B4-BE49-F238E27FC236}">
              <a16:creationId xmlns:a16="http://schemas.microsoft.com/office/drawing/2014/main" id="{F22ED9FC-C231-4AB2-AF1B-8E6AC84D3F60}"/>
            </a:ext>
          </a:extLst>
        </xdr:cNvPr>
        <xdr:cNvSpPr/>
      </xdr:nvSpPr>
      <xdr:spPr>
        <a:xfrm>
          <a:off x="7780130" y="29314913"/>
          <a:ext cx="2708130"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38</xdr:col>
      <xdr:colOff>1387684</xdr:colOff>
      <xdr:row>16</xdr:row>
      <xdr:rowOff>1785</xdr:rowOff>
    </xdr:from>
    <xdr:to>
      <xdr:col>40</xdr:col>
      <xdr:colOff>420217</xdr:colOff>
      <xdr:row>16</xdr:row>
      <xdr:rowOff>47504</xdr:rowOff>
    </xdr:to>
    <xdr:sp macro="" textlink="">
      <xdr:nvSpPr>
        <xdr:cNvPr id="3" name="Speech Bubble: Rectangle with Corners Rounded 8">
          <a:extLst>
            <a:ext uri="{FF2B5EF4-FFF2-40B4-BE49-F238E27FC236}">
              <a16:creationId xmlns:a16="http://schemas.microsoft.com/office/drawing/2014/main" id="{A17309BB-8374-4A94-B3CA-D9C794AB653A}"/>
            </a:ext>
            <a:ext uri="{147F2762-F138-4A5C-976F-8EAC2B608ADB}">
              <a16:predDERef xmlns:a16="http://schemas.microsoft.com/office/drawing/2014/main" pred="{21FF0D3F-FA7E-47FD-A719-337BB76CFEDA}"/>
            </a:ext>
          </a:extLst>
        </xdr:cNvPr>
        <xdr:cNvSpPr/>
      </xdr:nvSpPr>
      <xdr:spPr>
        <a:xfrm>
          <a:off x="31275017" y="16427118"/>
          <a:ext cx="2351467" cy="45719"/>
        </a:xfrm>
        <a:prstGeom prst="wedgeRoundRectCallout">
          <a:avLst>
            <a:gd name="adj1" fmla="val -71265"/>
            <a:gd name="adj2" fmla="val -45760"/>
            <a:gd name="adj3" fmla="val 16667"/>
          </a:avLst>
        </a:prstGeom>
        <a:solidFill>
          <a:schemeClr val="accent4">
            <a:lumMod val="20000"/>
            <a:lumOff val="80000"/>
          </a:schemeClr>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How to improve</a:t>
          </a:r>
          <a:r>
            <a:rPr lang="en-US" sz="1100" baseline="0">
              <a:solidFill>
                <a:sysClr val="windowText" lastClr="000000"/>
              </a:solidFill>
            </a:rPr>
            <a:t> quality and prod? </a:t>
          </a:r>
          <a:r>
            <a:rPr lang="ja-JP" altLang="en-US" sz="1100" baseline="0">
              <a:solidFill>
                <a:sysClr val="windowText" lastClr="000000"/>
              </a:solidFill>
            </a:rPr>
            <a:t>★</a:t>
          </a:r>
          <a:r>
            <a:rPr lang="en-US" sz="1100">
              <a:solidFill>
                <a:sysClr val="windowText" lastClr="000000"/>
              </a:solidFill>
            </a:rPr>
            <a:t>Indicate</a:t>
          </a:r>
          <a:r>
            <a:rPr lang="en-US" sz="1100" baseline="0">
              <a:solidFill>
                <a:sysClr val="windowText" lastClr="000000"/>
              </a:solidFill>
            </a:rPr>
            <a:t> status of kaizen and catchup plan if already delayed</a:t>
          </a:r>
          <a:endParaRPr lang="en-US" sz="1100">
            <a:solidFill>
              <a:sysClr val="windowText" lastClr="000000"/>
            </a:solidFill>
          </a:endParaRPr>
        </a:p>
      </xdr:txBody>
    </xdr:sp>
    <xdr:clientData/>
  </xdr:twoCellAnchor>
  <xdr:twoCellAnchor>
    <xdr:from>
      <xdr:col>14</xdr:col>
      <xdr:colOff>66261</xdr:colOff>
      <xdr:row>25</xdr:row>
      <xdr:rowOff>204304</xdr:rowOff>
    </xdr:from>
    <xdr:to>
      <xdr:col>19</xdr:col>
      <xdr:colOff>195738</xdr:colOff>
      <xdr:row>25</xdr:row>
      <xdr:rowOff>908602</xdr:rowOff>
    </xdr:to>
    <xdr:sp macro="" textlink="">
      <xdr:nvSpPr>
        <xdr:cNvPr id="679" name="Speech Bubble: Rectangle with Corners Rounded 702">
          <a:extLst>
            <a:ext uri="{FF2B5EF4-FFF2-40B4-BE49-F238E27FC236}">
              <a16:creationId xmlns:a16="http://schemas.microsoft.com/office/drawing/2014/main" id="{C4F190CD-9511-4BBE-8C13-5E8A46CC1089}"/>
            </a:ext>
          </a:extLst>
        </xdr:cNvPr>
        <xdr:cNvSpPr/>
      </xdr:nvSpPr>
      <xdr:spPr>
        <a:xfrm>
          <a:off x="7614478" y="31716869"/>
          <a:ext cx="2708130"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29</xdr:col>
      <xdr:colOff>128656</xdr:colOff>
      <xdr:row>25</xdr:row>
      <xdr:rowOff>303591</xdr:rowOff>
    </xdr:from>
    <xdr:to>
      <xdr:col>30</xdr:col>
      <xdr:colOff>473482</xdr:colOff>
      <xdr:row>25</xdr:row>
      <xdr:rowOff>738497</xdr:rowOff>
    </xdr:to>
    <xdr:sp macro="" textlink="">
      <xdr:nvSpPr>
        <xdr:cNvPr id="677" name="Speech Bubble: Rectangle with Corners Rounded 703">
          <a:extLst>
            <a:ext uri="{FF2B5EF4-FFF2-40B4-BE49-F238E27FC236}">
              <a16:creationId xmlns:a16="http://schemas.microsoft.com/office/drawing/2014/main" id="{DE441367-502C-8DB0-440B-92A76B1CC279}"/>
            </a:ext>
          </a:extLst>
        </xdr:cNvPr>
        <xdr:cNvSpPr/>
      </xdr:nvSpPr>
      <xdr:spPr>
        <a:xfrm>
          <a:off x="19648004" y="31816156"/>
          <a:ext cx="2708130" cy="434906"/>
        </a:xfrm>
        <a:prstGeom prst="wedgeRoundRectCallout">
          <a:avLst>
            <a:gd name="adj1" fmla="val 50106"/>
            <a:gd name="adj2" fmla="val 100503"/>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Number of findings are decreasing</a:t>
          </a:r>
          <a:endParaRPr lang="en-US" sz="1100">
            <a:solidFill>
              <a:srgbClr val="FF0000"/>
            </a:solidFill>
          </a:endParaRPr>
        </a:p>
      </xdr:txBody>
    </xdr:sp>
    <xdr:clientData/>
  </xdr:twoCellAnchor>
  <xdr:twoCellAnchor>
    <xdr:from>
      <xdr:col>11</xdr:col>
      <xdr:colOff>128657</xdr:colOff>
      <xdr:row>26</xdr:row>
      <xdr:rowOff>32423</xdr:rowOff>
    </xdr:from>
    <xdr:to>
      <xdr:col>20</xdr:col>
      <xdr:colOff>55217</xdr:colOff>
      <xdr:row>26</xdr:row>
      <xdr:rowOff>736757</xdr:rowOff>
    </xdr:to>
    <xdr:sp macro="" textlink="">
      <xdr:nvSpPr>
        <xdr:cNvPr id="745" name="Speech Bubble: Rectangle with Corners Rounded 727">
          <a:extLst>
            <a:ext uri="{FF2B5EF4-FFF2-40B4-BE49-F238E27FC236}">
              <a16:creationId xmlns:a16="http://schemas.microsoft.com/office/drawing/2014/main" id="{E7C98D89-51D1-5D46-CD12-F3C88271AB6D}"/>
            </a:ext>
          </a:extLst>
        </xdr:cNvPr>
        <xdr:cNvSpPr/>
      </xdr:nvSpPr>
      <xdr:spPr>
        <a:xfrm>
          <a:off x="6301961" y="34438380"/>
          <a:ext cx="4404691" cy="704334"/>
        </a:xfrm>
        <a:prstGeom prst="wedgeRoundRectCallout">
          <a:avLst>
            <a:gd name="adj1" fmla="val -62983"/>
            <a:gd name="adj2" fmla="val 5946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Quality is improving,</a:t>
          </a:r>
          <a:r>
            <a:rPr lang="en-US" altLang="ja-JP" sz="1100" baseline="0">
              <a:solidFill>
                <a:srgbClr val="FF0000"/>
              </a:solidFill>
            </a:rPr>
            <a:t> and a</a:t>
          </a:r>
          <a:r>
            <a:rPr lang="en-US" altLang="ja-JP" sz="1100">
              <a:solidFill>
                <a:srgbClr val="FF0000"/>
              </a:solidFill>
            </a:rPr>
            <a:t>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8</xdr:col>
      <xdr:colOff>445308</xdr:colOff>
      <xdr:row>27</xdr:row>
      <xdr:rowOff>923367</xdr:rowOff>
    </xdr:from>
    <xdr:to>
      <xdr:col>11</xdr:col>
      <xdr:colOff>232754</xdr:colOff>
      <xdr:row>27</xdr:row>
      <xdr:rowOff>1320945</xdr:rowOff>
    </xdr:to>
    <xdr:sp macro="" textlink="">
      <xdr:nvSpPr>
        <xdr:cNvPr id="246" name="Speech Bubble: Rectangle with Corners Rounded 729">
          <a:extLst>
            <a:ext uri="{FF2B5EF4-FFF2-40B4-BE49-F238E27FC236}">
              <a16:creationId xmlns:a16="http://schemas.microsoft.com/office/drawing/2014/main" id="{710680A1-3DB7-6F62-95E9-BD774FB9ED0E}"/>
            </a:ext>
          </a:extLst>
        </xdr:cNvPr>
        <xdr:cNvSpPr/>
      </xdr:nvSpPr>
      <xdr:spPr>
        <a:xfrm>
          <a:off x="5232656" y="17621106"/>
          <a:ext cx="1154076" cy="397578"/>
        </a:xfrm>
        <a:prstGeom prst="wedgeRoundRectCallout">
          <a:avLst>
            <a:gd name="adj1" fmla="val -62983"/>
            <a:gd name="adj2" fmla="val 5946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Task4 is good</a:t>
          </a:r>
          <a:endParaRPr lang="en-US" sz="1100">
            <a:solidFill>
              <a:srgbClr val="FF0000"/>
            </a:solidFill>
          </a:endParaRPr>
        </a:p>
      </xdr:txBody>
    </xdr:sp>
    <xdr:clientData/>
  </xdr:twoCellAnchor>
  <xdr:twoCellAnchor>
    <xdr:from>
      <xdr:col>34</xdr:col>
      <xdr:colOff>56807</xdr:colOff>
      <xdr:row>14</xdr:row>
      <xdr:rowOff>965456</xdr:rowOff>
    </xdr:from>
    <xdr:to>
      <xdr:col>35</xdr:col>
      <xdr:colOff>772909</xdr:colOff>
      <xdr:row>14</xdr:row>
      <xdr:rowOff>1364030</xdr:rowOff>
    </xdr:to>
    <xdr:sp macro="" textlink="">
      <xdr:nvSpPr>
        <xdr:cNvPr id="523" name="Speech Bubble: Rectangle with Corners Rounded 7">
          <a:extLst>
            <a:ext uri="{FF2B5EF4-FFF2-40B4-BE49-F238E27FC236}">
              <a16:creationId xmlns:a16="http://schemas.microsoft.com/office/drawing/2014/main" id="{96D51530-B297-4B58-9AA2-4399DDD83C80}"/>
            </a:ext>
          </a:extLst>
        </xdr:cNvPr>
        <xdr:cNvSpPr/>
      </xdr:nvSpPr>
      <xdr:spPr>
        <a:xfrm>
          <a:off x="27165785" y="6324304"/>
          <a:ext cx="1411841" cy="398574"/>
        </a:xfrm>
        <a:prstGeom prst="wedgeRoundRectCallout">
          <a:avLst>
            <a:gd name="adj1" fmla="val -67406"/>
            <a:gd name="adj2" fmla="val 127589"/>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Almost KPI</a:t>
          </a:r>
          <a:endParaRPr lang="en-US" sz="1100">
            <a:solidFill>
              <a:srgbClr val="FF0000"/>
            </a:solidFill>
          </a:endParaRPr>
        </a:p>
      </xdr:txBody>
    </xdr:sp>
    <xdr:clientData/>
  </xdr:twoCellAnchor>
  <xdr:twoCellAnchor>
    <xdr:from>
      <xdr:col>9</xdr:col>
      <xdr:colOff>149088</xdr:colOff>
      <xdr:row>20</xdr:row>
      <xdr:rowOff>554935</xdr:rowOff>
    </xdr:from>
    <xdr:to>
      <xdr:col>13</xdr:col>
      <xdr:colOff>1849</xdr:colOff>
      <xdr:row>20</xdr:row>
      <xdr:rowOff>916351</xdr:rowOff>
    </xdr:to>
    <xdr:sp macro="" textlink="">
      <xdr:nvSpPr>
        <xdr:cNvPr id="573" name="Speech Bubble: Rectangle with Corners Rounded 110">
          <a:extLst>
            <a:ext uri="{FF2B5EF4-FFF2-40B4-BE49-F238E27FC236}">
              <a16:creationId xmlns:a16="http://schemas.microsoft.com/office/drawing/2014/main" id="{DFE7EF99-3560-405C-AD7C-EAFF223821DD}"/>
            </a:ext>
          </a:extLst>
        </xdr:cNvPr>
        <xdr:cNvSpPr/>
      </xdr:nvSpPr>
      <xdr:spPr>
        <a:xfrm>
          <a:off x="5391979" y="14759609"/>
          <a:ext cx="1674935" cy="361416"/>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Task4 is good</a:t>
          </a:r>
        </a:p>
      </xdr:txBody>
    </xdr:sp>
    <xdr:clientData/>
  </xdr:twoCellAnchor>
  <xdr:twoCellAnchor>
    <xdr:from>
      <xdr:col>7</xdr:col>
      <xdr:colOff>51194</xdr:colOff>
      <xdr:row>27</xdr:row>
      <xdr:rowOff>2687908</xdr:rowOff>
    </xdr:from>
    <xdr:to>
      <xdr:col>10</xdr:col>
      <xdr:colOff>374246</xdr:colOff>
      <xdr:row>27</xdr:row>
      <xdr:rowOff>3085486</xdr:rowOff>
    </xdr:to>
    <xdr:sp macro="" textlink="">
      <xdr:nvSpPr>
        <xdr:cNvPr id="711" name="Speech Bubble: Rectangle with Corners Rounded 729">
          <a:extLst>
            <a:ext uri="{FF2B5EF4-FFF2-40B4-BE49-F238E27FC236}">
              <a16:creationId xmlns:a16="http://schemas.microsoft.com/office/drawing/2014/main" id="{2CB3D944-988A-7D82-8216-F81BAD1D142F}"/>
            </a:ext>
          </a:extLst>
        </xdr:cNvPr>
        <xdr:cNvSpPr/>
      </xdr:nvSpPr>
      <xdr:spPr>
        <a:xfrm>
          <a:off x="4377132" y="19197908"/>
          <a:ext cx="1704177" cy="397578"/>
        </a:xfrm>
        <a:prstGeom prst="wedgeRoundRectCallout">
          <a:avLst>
            <a:gd name="adj1" fmla="val -44793"/>
            <a:gd name="adj2" fmla="val -13636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two pending review</a:t>
          </a:r>
          <a:endParaRPr lang="en-US" sz="1100">
            <a:solidFill>
              <a:srgbClr val="FF0000"/>
            </a:solidFill>
          </a:endParaRPr>
        </a:p>
      </xdr:txBody>
    </xdr:sp>
    <xdr:clientData/>
  </xdr:twoCellAnchor>
  <xdr:twoCellAnchor>
    <xdr:from>
      <xdr:col>1</xdr:col>
      <xdr:colOff>969065</xdr:colOff>
      <xdr:row>25</xdr:row>
      <xdr:rowOff>712305</xdr:rowOff>
    </xdr:from>
    <xdr:to>
      <xdr:col>4</xdr:col>
      <xdr:colOff>333528</xdr:colOff>
      <xdr:row>25</xdr:row>
      <xdr:rowOff>1074030</xdr:rowOff>
    </xdr:to>
    <xdr:sp macro="" textlink="">
      <xdr:nvSpPr>
        <xdr:cNvPr id="661" name="Speech Bubble: Rectangle with Corners Rounded 1">
          <a:extLst>
            <a:ext uri="{FF2B5EF4-FFF2-40B4-BE49-F238E27FC236}">
              <a16:creationId xmlns:a16="http://schemas.microsoft.com/office/drawing/2014/main" id="{E1E30CED-4794-48E0-AFED-E654A26F9E02}"/>
            </a:ext>
          </a:extLst>
        </xdr:cNvPr>
        <xdr:cNvSpPr/>
      </xdr:nvSpPr>
      <xdr:spPr>
        <a:xfrm>
          <a:off x="1143000" y="2567609"/>
          <a:ext cx="2089441" cy="361725"/>
        </a:xfrm>
        <a:prstGeom prst="wedgeRoundRectCallout">
          <a:avLst>
            <a:gd name="adj1" fmla="val -66397"/>
            <a:gd name="adj2" fmla="val 210584"/>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endParaRPr lang="en-US" sz="1100">
            <a:solidFill>
              <a:srgbClr val="FF0000"/>
            </a:solidFill>
          </a:endParaRPr>
        </a:p>
      </xdr:txBody>
    </xdr:sp>
    <xdr:clientData/>
  </xdr:twoCellAnchor>
  <xdr:twoCellAnchor>
    <xdr:from>
      <xdr:col>1</xdr:col>
      <xdr:colOff>666751</xdr:colOff>
      <xdr:row>14</xdr:row>
      <xdr:rowOff>749274</xdr:rowOff>
    </xdr:from>
    <xdr:to>
      <xdr:col>4</xdr:col>
      <xdr:colOff>444500</xdr:colOff>
      <xdr:row>14</xdr:row>
      <xdr:rowOff>1199950</xdr:rowOff>
    </xdr:to>
    <xdr:sp macro="" textlink="">
      <xdr:nvSpPr>
        <xdr:cNvPr id="718" name="Speech Bubble: Rectangle with Corners Rounded 1">
          <a:extLst>
            <a:ext uri="{FF2B5EF4-FFF2-40B4-BE49-F238E27FC236}">
              <a16:creationId xmlns:a16="http://schemas.microsoft.com/office/drawing/2014/main" id="{D009FE77-7678-44D0-9F4B-C8A0B83A25F6}"/>
            </a:ext>
          </a:extLst>
        </xdr:cNvPr>
        <xdr:cNvSpPr/>
      </xdr:nvSpPr>
      <xdr:spPr>
        <a:xfrm>
          <a:off x="841376" y="5360962"/>
          <a:ext cx="2484437" cy="450676"/>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p>
      </xdr:txBody>
    </xdr:sp>
    <xdr:clientData/>
  </xdr:twoCellAnchor>
  <xdr:twoCellAnchor>
    <xdr:from>
      <xdr:col>1</xdr:col>
      <xdr:colOff>304801</xdr:colOff>
      <xdr:row>12</xdr:row>
      <xdr:rowOff>130629</xdr:rowOff>
    </xdr:from>
    <xdr:to>
      <xdr:col>4</xdr:col>
      <xdr:colOff>391887</xdr:colOff>
      <xdr:row>12</xdr:row>
      <xdr:rowOff>707571</xdr:rowOff>
    </xdr:to>
    <xdr:sp macro="" textlink="">
      <xdr:nvSpPr>
        <xdr:cNvPr id="13" name="Speech Bubble: Rectangle with Corners Rounded 1">
          <a:extLst>
            <a:ext uri="{FF2B5EF4-FFF2-40B4-BE49-F238E27FC236}">
              <a16:creationId xmlns:a16="http://schemas.microsoft.com/office/drawing/2014/main" id="{72348591-52D6-4F6A-9DAD-B6F3F795A9B5}"/>
            </a:ext>
          </a:extLst>
        </xdr:cNvPr>
        <xdr:cNvSpPr/>
      </xdr:nvSpPr>
      <xdr:spPr>
        <a:xfrm>
          <a:off x="468087" y="6117772"/>
          <a:ext cx="2579914" cy="576942"/>
        </a:xfrm>
        <a:prstGeom prst="wedgeRoundRectCallout">
          <a:avLst>
            <a:gd name="adj1" fmla="val -45708"/>
            <a:gd name="adj2" fmla="val 121459"/>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br>
            <a:rPr lang="en-US" sz="1100" baseline="0">
              <a:solidFill>
                <a:srgbClr val="FF0000"/>
              </a:solidFill>
            </a:rPr>
          </a:br>
          <a:r>
            <a:rPr lang="en-US" sz="1100" baseline="0">
              <a:solidFill>
                <a:srgbClr val="FF0000"/>
              </a:solidFill>
            </a:rPr>
            <a:t>⇒2024/2/27 Change to Pass(Hirata)</a:t>
          </a:r>
        </a:p>
      </xdr:txBody>
    </xdr:sp>
    <xdr:clientData/>
  </xdr:twoCellAnchor>
  <xdr:twoCellAnchor>
    <xdr:from>
      <xdr:col>1</xdr:col>
      <xdr:colOff>420688</xdr:colOff>
      <xdr:row>16</xdr:row>
      <xdr:rowOff>166687</xdr:rowOff>
    </xdr:from>
    <xdr:to>
      <xdr:col>4</xdr:col>
      <xdr:colOff>198437</xdr:colOff>
      <xdr:row>16</xdr:row>
      <xdr:rowOff>766537</xdr:rowOff>
    </xdr:to>
    <xdr:sp macro="" textlink="">
      <xdr:nvSpPr>
        <xdr:cNvPr id="705" name="Speech Bubble: Rectangle with Corners Rounded 1">
          <a:extLst>
            <a:ext uri="{FF2B5EF4-FFF2-40B4-BE49-F238E27FC236}">
              <a16:creationId xmlns:a16="http://schemas.microsoft.com/office/drawing/2014/main" id="{20033F40-197C-43F7-B9DD-A2FAE9A4E0A0}"/>
            </a:ext>
          </a:extLst>
        </xdr:cNvPr>
        <xdr:cNvSpPr/>
      </xdr:nvSpPr>
      <xdr:spPr>
        <a:xfrm>
          <a:off x="595313" y="8286750"/>
          <a:ext cx="2484437"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r>
            <a:rPr lang="en-US" sz="1100" baseline="0">
              <a:solidFill>
                <a:srgbClr val="FF0000"/>
              </a:solidFill>
            </a:rPr>
            <a:t>(2024/2/26)</a:t>
          </a:r>
        </a:p>
      </xdr:txBody>
    </xdr:sp>
    <xdr:clientData/>
  </xdr:twoCellAnchor>
  <xdr:twoCellAnchor>
    <xdr:from>
      <xdr:col>1</xdr:col>
      <xdr:colOff>190500</xdr:colOff>
      <xdr:row>17</xdr:row>
      <xdr:rowOff>341313</xdr:rowOff>
    </xdr:from>
    <xdr:to>
      <xdr:col>3</xdr:col>
      <xdr:colOff>507999</xdr:colOff>
      <xdr:row>17</xdr:row>
      <xdr:rowOff>941163</xdr:rowOff>
    </xdr:to>
    <xdr:sp macro="" textlink="">
      <xdr:nvSpPr>
        <xdr:cNvPr id="707" name="Speech Bubble: Rectangle with Corners Rounded 1">
          <a:extLst>
            <a:ext uri="{FF2B5EF4-FFF2-40B4-BE49-F238E27FC236}">
              <a16:creationId xmlns:a16="http://schemas.microsoft.com/office/drawing/2014/main" id="{B7D69F88-76D8-4BA3-AE09-4E1E0CC9D49F}"/>
            </a:ext>
          </a:extLst>
        </xdr:cNvPr>
        <xdr:cNvSpPr/>
      </xdr:nvSpPr>
      <xdr:spPr>
        <a:xfrm>
          <a:off x="365125" y="11064876"/>
          <a:ext cx="2484437"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r>
            <a:rPr lang="en-US" sz="1100" baseline="0">
              <a:solidFill>
                <a:srgbClr val="FF0000"/>
              </a:solidFill>
            </a:rPr>
            <a:t>(2024/2/26)</a:t>
          </a:r>
        </a:p>
      </xdr:txBody>
    </xdr:sp>
    <xdr:clientData/>
  </xdr:twoCellAnchor>
  <xdr:twoCellAnchor>
    <xdr:from>
      <xdr:col>1</xdr:col>
      <xdr:colOff>476250</xdr:colOff>
      <xdr:row>26</xdr:row>
      <xdr:rowOff>563562</xdr:rowOff>
    </xdr:from>
    <xdr:to>
      <xdr:col>4</xdr:col>
      <xdr:colOff>253999</xdr:colOff>
      <xdr:row>26</xdr:row>
      <xdr:rowOff>1163412</xdr:rowOff>
    </xdr:to>
    <xdr:sp macro="" textlink="">
      <xdr:nvSpPr>
        <xdr:cNvPr id="719" name="Speech Bubble: Rectangle with Corners Rounded 1">
          <a:extLst>
            <a:ext uri="{FF2B5EF4-FFF2-40B4-BE49-F238E27FC236}">
              <a16:creationId xmlns:a16="http://schemas.microsoft.com/office/drawing/2014/main" id="{16AEDBA3-9358-4081-B43A-C562D630A04A}"/>
            </a:ext>
          </a:extLst>
        </xdr:cNvPr>
        <xdr:cNvSpPr/>
      </xdr:nvSpPr>
      <xdr:spPr>
        <a:xfrm>
          <a:off x="650875" y="13874750"/>
          <a:ext cx="2484437"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p>
      </xdr:txBody>
    </xdr:sp>
    <xdr:clientData/>
  </xdr:twoCellAnchor>
  <xdr:twoCellAnchor>
    <xdr:from>
      <xdr:col>1</xdr:col>
      <xdr:colOff>396875</xdr:colOff>
      <xdr:row>27</xdr:row>
      <xdr:rowOff>547688</xdr:rowOff>
    </xdr:from>
    <xdr:to>
      <xdr:col>4</xdr:col>
      <xdr:colOff>174624</xdr:colOff>
      <xdr:row>27</xdr:row>
      <xdr:rowOff>1147538</xdr:rowOff>
    </xdr:to>
    <xdr:sp macro="" textlink="">
      <xdr:nvSpPr>
        <xdr:cNvPr id="713" name="Speech Bubble: Rectangle with Corners Rounded 1">
          <a:extLst>
            <a:ext uri="{FF2B5EF4-FFF2-40B4-BE49-F238E27FC236}">
              <a16:creationId xmlns:a16="http://schemas.microsoft.com/office/drawing/2014/main" id="{EED4C40E-905B-4E93-9FAC-97C575EAD5F7}"/>
            </a:ext>
          </a:extLst>
        </xdr:cNvPr>
        <xdr:cNvSpPr/>
      </xdr:nvSpPr>
      <xdr:spPr>
        <a:xfrm>
          <a:off x="571500" y="17057688"/>
          <a:ext cx="2484437"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r>
            <a:rPr lang="en-US" sz="1100" baseline="0">
              <a:solidFill>
                <a:srgbClr val="FF0000"/>
              </a:solidFill>
            </a:rPr>
            <a:t>(2024/2/26)</a:t>
          </a:r>
        </a:p>
      </xdr:txBody>
    </xdr:sp>
    <xdr:clientData/>
  </xdr:twoCellAnchor>
  <xdr:twoCellAnchor>
    <xdr:from>
      <xdr:col>1</xdr:col>
      <xdr:colOff>972291</xdr:colOff>
      <xdr:row>20</xdr:row>
      <xdr:rowOff>476290</xdr:rowOff>
    </xdr:from>
    <xdr:to>
      <xdr:col>4</xdr:col>
      <xdr:colOff>156482</xdr:colOff>
      <xdr:row>20</xdr:row>
      <xdr:rowOff>959504</xdr:rowOff>
    </xdr:to>
    <xdr:sp macro="" textlink="">
      <xdr:nvSpPr>
        <xdr:cNvPr id="798" name="Speech Bubble: Rectangle with Corners Rounded 2">
          <a:extLst>
            <a:ext uri="{FF2B5EF4-FFF2-40B4-BE49-F238E27FC236}">
              <a16:creationId xmlns:a16="http://schemas.microsoft.com/office/drawing/2014/main" id="{23937147-71FD-DFA9-4847-E3F0E9F9903F}"/>
            </a:ext>
          </a:extLst>
        </xdr:cNvPr>
        <xdr:cNvSpPr/>
      </xdr:nvSpPr>
      <xdr:spPr>
        <a:xfrm>
          <a:off x="1142380" y="11157897"/>
          <a:ext cx="1898816" cy="483214"/>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Pass(2024/2/26)</a:t>
          </a:r>
        </a:p>
        <a:p>
          <a:pPr algn="l"/>
          <a:r>
            <a:rPr lang="en-US" altLang="ja-JP" sz="1100">
              <a:solidFill>
                <a:srgbClr val="FF0000"/>
              </a:solidFill>
            </a:rPr>
            <a:t>#Task1 is very complicated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167620</xdr:colOff>
      <xdr:row>114</xdr:row>
      <xdr:rowOff>7363</xdr:rowOff>
    </xdr:from>
    <xdr:to>
      <xdr:col>31</xdr:col>
      <xdr:colOff>2186765</xdr:colOff>
      <xdr:row>148</xdr:row>
      <xdr:rowOff>58896</xdr:rowOff>
    </xdr:to>
    <xdr:sp macro="" textlink="">
      <xdr:nvSpPr>
        <xdr:cNvPr id="8" name="Rectangle 5">
          <a:extLst>
            <a:ext uri="{FF2B5EF4-FFF2-40B4-BE49-F238E27FC236}">
              <a16:creationId xmlns:a16="http://schemas.microsoft.com/office/drawing/2014/main" id="{43DBD975-2F40-820E-0FC9-481E1AC80DE2}"/>
            </a:ext>
            <a:ext uri="{147F2762-F138-4A5C-976F-8EAC2B608ADB}">
              <a16:predDERef xmlns:a16="http://schemas.microsoft.com/office/drawing/2014/main" pred="{8272866D-A150-6725-BADE-AA0726ECBAA1}"/>
            </a:ext>
          </a:extLst>
        </xdr:cNvPr>
        <xdr:cNvSpPr/>
      </xdr:nvSpPr>
      <xdr:spPr>
        <a:xfrm>
          <a:off x="4034770" y="43793788"/>
          <a:ext cx="20545270" cy="62046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 high, Q: high </a:t>
          </a:r>
          <a:r>
            <a:rPr lang="ja-JP" altLang="en-US" sz="1100"/>
            <a:t>→ </a:t>
          </a:r>
          <a:r>
            <a:rPr lang="en-US" altLang="ja-JP" sz="1100"/>
            <a:t>measure</a:t>
          </a:r>
          <a:r>
            <a:rPr lang="en-US" altLang="ja-JP" sz="1100" baseline="0"/>
            <a:t> </a:t>
          </a:r>
          <a:r>
            <a:rPr lang="ja-JP" altLang="en-US" sz="1100" baseline="0"/>
            <a:t>①②③</a:t>
          </a:r>
          <a:r>
            <a:rPr lang="ja-JP" altLang="en-US" sz="1100"/>
            <a:t> </a:t>
          </a:r>
          <a:endParaRPr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 high, Q: low </a:t>
          </a:r>
          <a:r>
            <a:rPr lang="ja-JP" altLang="en-US" sz="1100">
              <a:solidFill>
                <a:schemeClr val="lt1"/>
              </a:solidFill>
              <a:effectLst/>
              <a:latin typeface="+mn-lt"/>
              <a:ea typeface="+mn-ea"/>
              <a:cs typeface="+mn-cs"/>
            </a:rPr>
            <a:t>→ </a:t>
          </a:r>
          <a:r>
            <a:rPr lang="en-US" sz="1100">
              <a:solidFill>
                <a:schemeClr val="lt1"/>
              </a:solidFill>
              <a:effectLst/>
              <a:latin typeface="+mn-lt"/>
              <a:ea typeface="+mn-ea"/>
              <a:cs typeface="+mn-cs"/>
            </a:rPr>
            <a:t>measure</a:t>
          </a: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①②③ </a:t>
          </a:r>
          <a:r>
            <a:rPr lang="en-PH" altLang="ja-JP" sz="1100" baseline="0">
              <a:solidFill>
                <a:schemeClr val="lt1"/>
              </a:solidFill>
              <a:effectLst/>
              <a:latin typeface="+mn-lt"/>
              <a:ea typeface="+mn-ea"/>
              <a:cs typeface="+mn-cs"/>
            </a:rPr>
            <a:t>+</a:t>
          </a:r>
          <a:r>
            <a:rPr lang="en-PH" sz="1100" baseline="0">
              <a:solidFill>
                <a:schemeClr val="lt1"/>
              </a:solidFill>
              <a:effectLst/>
              <a:latin typeface="+mn-lt"/>
              <a:ea typeface="+mn-ea"/>
              <a:cs typeface="+mn-cs"/>
            </a:rPr>
            <a:t> Knowledge base creation &amp; maintenance c/o additiona technical TL + Assignment of additional  TL to support complex task dedicated per project + QA analysis/survey of common issues </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 low, Q: high </a:t>
          </a:r>
          <a:r>
            <a:rPr lang="ja-JP" altLang="en-US" sz="1100">
              <a:solidFill>
                <a:schemeClr val="lt1"/>
              </a:solidFill>
              <a:effectLst/>
              <a:latin typeface="+mn-lt"/>
              <a:ea typeface="+mn-ea"/>
              <a:cs typeface="+mn-cs"/>
            </a:rPr>
            <a:t>→ </a:t>
          </a:r>
          <a:r>
            <a:rPr lang="en-US" sz="1100">
              <a:solidFill>
                <a:schemeClr val="lt1"/>
              </a:solidFill>
              <a:effectLst/>
              <a:latin typeface="+mn-lt"/>
              <a:ea typeface="+mn-ea"/>
              <a:cs typeface="+mn-cs"/>
            </a:rPr>
            <a:t>measure</a:t>
          </a: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①②③ </a:t>
          </a:r>
          <a:r>
            <a:rPr lang="en-PH" altLang="ja-JP" sz="1100" baseline="0">
              <a:solidFill>
                <a:schemeClr val="lt1"/>
              </a:solidFill>
              <a:effectLst/>
              <a:latin typeface="+mn-lt"/>
              <a:ea typeface="+mn-ea"/>
              <a:cs typeface="+mn-cs"/>
            </a:rPr>
            <a:t>+ Knowledge base creation &amp; maintenance c/o technical TL + Assignment of technical TL to support complex task dedicate per project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 low, Q: low </a:t>
          </a:r>
          <a:r>
            <a:rPr lang="ja-JP" altLang="en-US" sz="1100">
              <a:solidFill>
                <a:schemeClr val="lt1"/>
              </a:solidFill>
              <a:effectLst/>
              <a:latin typeface="+mn-lt"/>
              <a:ea typeface="+mn-ea"/>
              <a:cs typeface="+mn-cs"/>
            </a:rPr>
            <a:t>→ </a:t>
          </a:r>
          <a:r>
            <a:rPr lang="en-US" sz="1100">
              <a:solidFill>
                <a:schemeClr val="lt1"/>
              </a:solidFill>
              <a:effectLst/>
              <a:latin typeface="+mn-lt"/>
              <a:ea typeface="+mn-ea"/>
              <a:cs typeface="+mn-cs"/>
            </a:rPr>
            <a:t>measure</a:t>
          </a:r>
          <a:r>
            <a:rPr lang="en-US" sz="1100" baseline="0">
              <a:solidFill>
                <a:schemeClr val="lt1"/>
              </a:solidFill>
              <a:effectLst/>
              <a:latin typeface="+mn-lt"/>
              <a:ea typeface="+mn-ea"/>
              <a:cs typeface="+mn-cs"/>
            </a:rPr>
            <a:t> </a:t>
          </a:r>
          <a:r>
            <a:rPr lang="ja-JP" altLang="en-US" sz="1100" baseline="0">
              <a:solidFill>
                <a:schemeClr val="lt1"/>
              </a:solidFill>
              <a:effectLst/>
              <a:latin typeface="+mn-lt"/>
              <a:ea typeface="+mn-ea"/>
              <a:cs typeface="+mn-cs"/>
            </a:rPr>
            <a:t>①②③ </a:t>
          </a:r>
          <a:r>
            <a:rPr lang="en-PH" sz="1100" baseline="0">
              <a:solidFill>
                <a:schemeClr val="lt1"/>
              </a:solidFill>
              <a:effectLst/>
              <a:latin typeface="+mn-lt"/>
              <a:ea typeface="+mn-ea"/>
              <a:cs typeface="+mn-cs"/>
            </a:rPr>
            <a:t>+ Knowledge base creation &amp; maintenance c/o technical TL + Assignment of technical TL to supporting complex task dedicate per project + QA analysis + Refresher/Study session/</a:t>
          </a:r>
          <a:r>
            <a:rPr lang="ja-JP" altLang="en-US" sz="1100" baseline="0">
              <a:solidFill>
                <a:schemeClr val="lt1"/>
              </a:solidFill>
              <a:effectLst/>
              <a:latin typeface="+mn-lt"/>
              <a:ea typeface="+mn-ea"/>
              <a:cs typeface="+mn-cs"/>
            </a:rPr>
            <a:t>勉強会 </a:t>
          </a:r>
          <a:r>
            <a:rPr lang="en-PH" altLang="ja-JP" sz="1100" baseline="0">
              <a:solidFill>
                <a:schemeClr val="lt1"/>
              </a:solidFill>
              <a:effectLst/>
              <a:latin typeface="+mn-lt"/>
              <a:ea typeface="+mn-ea"/>
              <a:cs typeface="+mn-cs"/>
            </a:rPr>
            <a:t>with Japan side</a:t>
          </a:r>
        </a:p>
        <a:p>
          <a:pPr marL="0" marR="0" lvl="0" indent="0" algn="l" defTabSz="914400" eaLnBrk="1" fontAlgn="auto" latinLnBrk="0" hangingPunct="1">
            <a:lnSpc>
              <a:spcPct val="100000"/>
            </a:lnSpc>
            <a:spcBef>
              <a:spcPts val="0"/>
            </a:spcBef>
            <a:spcAft>
              <a:spcPts val="0"/>
            </a:spcAft>
            <a:buClrTx/>
            <a:buSzTx/>
            <a:buFontTx/>
            <a:buNone/>
            <a:tabLst/>
            <a:defRPr/>
          </a:pPr>
          <a:endParaRPr lang="en-US">
            <a:effectLst/>
          </a:endParaRPr>
        </a:p>
        <a:p>
          <a:pPr rtl="0"/>
          <a:r>
            <a:rPr lang="ja-JP" altLang="en-US"/>
            <a:t>①</a:t>
          </a:r>
          <a:r>
            <a:rPr lang="en-PH"/>
            <a:t>Thorough self check</a:t>
          </a:r>
        </a:p>
        <a:p>
          <a:pPr rtl="0"/>
          <a:r>
            <a:rPr lang="ja-JP" altLang="en-US"/>
            <a:t>②</a:t>
          </a:r>
          <a:r>
            <a:rPr lang="en-PH"/>
            <a:t>Analysis of findings/errors/misses</a:t>
          </a:r>
        </a:p>
        <a:p>
          <a:pPr rtl="0"/>
          <a:r>
            <a:rPr lang="ja-JP" altLang="en-US"/>
            <a:t>③</a:t>
          </a:r>
          <a:r>
            <a:rPr lang="en-PH"/>
            <a:t>Knowledge sharing/best practices</a:t>
          </a:r>
        </a:p>
      </xdr:txBody>
    </xdr:sp>
    <xdr:clientData/>
  </xdr:twoCellAnchor>
  <xdr:twoCellAnchor>
    <xdr:from>
      <xdr:col>27</xdr:col>
      <xdr:colOff>1064601</xdr:colOff>
      <xdr:row>35</xdr:row>
      <xdr:rowOff>44169</xdr:rowOff>
    </xdr:from>
    <xdr:to>
      <xdr:col>31</xdr:col>
      <xdr:colOff>307731</xdr:colOff>
      <xdr:row>44</xdr:row>
      <xdr:rowOff>172673</xdr:rowOff>
    </xdr:to>
    <xdr:sp macro="" textlink="">
      <xdr:nvSpPr>
        <xdr:cNvPr id="29" name="Rectangle 6">
          <a:extLst>
            <a:ext uri="{FF2B5EF4-FFF2-40B4-BE49-F238E27FC236}">
              <a16:creationId xmlns:a16="http://schemas.microsoft.com/office/drawing/2014/main" id="{BC074E54-2F96-DF75-87AD-9BEA4F7BE84E}"/>
            </a:ext>
          </a:extLst>
        </xdr:cNvPr>
        <xdr:cNvSpPr/>
      </xdr:nvSpPr>
      <xdr:spPr>
        <a:xfrm>
          <a:off x="17515986" y="17076823"/>
          <a:ext cx="5270745" cy="179904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t>1) Since there will be no CH review for each PG/PTS/PTE from the improvement phase, thorough self-check and leader review should be performed (①)</a:t>
          </a:r>
        </a:p>
        <a:p>
          <a:pPr algn="l"/>
          <a:endParaRPr lang="en-US" sz="1000"/>
        </a:p>
        <a:p>
          <a:pPr algn="l"/>
          <a:r>
            <a:rPr lang="en-US" sz="1000"/>
            <a:t>2) Since there is no convergence trend in the number of review points pointed out in the transfer phase, a quality improvement plan should be prepared after self-analysis of the points pointed out, and PM should check them (②) </a:t>
          </a:r>
        </a:p>
        <a:p>
          <a:pPr algn="l"/>
          <a:endParaRPr lang="en-US" sz="1000"/>
        </a:p>
        <a:p>
          <a:pPr algn="l"/>
          <a:r>
            <a:rPr lang="en-US" sz="1000"/>
            <a:t>3) Progress and effect of the improvement plan should be analyzed for each Task, and know-how as a HighPerformer should be shared with project members (③)</a:t>
          </a:r>
        </a:p>
        <a:p>
          <a:pPr algn="l"/>
          <a:endParaRPr lang="en-US" sz="1000"/>
        </a:p>
      </xdr:txBody>
    </xdr:sp>
    <xdr:clientData/>
  </xdr:twoCellAnchor>
  <xdr:twoCellAnchor>
    <xdr:from>
      <xdr:col>11</xdr:col>
      <xdr:colOff>44209</xdr:colOff>
      <xdr:row>22</xdr:row>
      <xdr:rowOff>637551</xdr:rowOff>
    </xdr:from>
    <xdr:to>
      <xdr:col>16</xdr:col>
      <xdr:colOff>183486</xdr:colOff>
      <xdr:row>22</xdr:row>
      <xdr:rowOff>1551397</xdr:rowOff>
    </xdr:to>
    <xdr:sp macro="" textlink="">
      <xdr:nvSpPr>
        <xdr:cNvPr id="347" name="Speech Bubble: Rectangle with Corners Rounded 2">
          <a:extLst>
            <a:ext uri="{FF2B5EF4-FFF2-40B4-BE49-F238E27FC236}">
              <a16:creationId xmlns:a16="http://schemas.microsoft.com/office/drawing/2014/main" id="{2DA3E86D-4B68-52EF-39F9-6A66AAFF6B37}"/>
            </a:ext>
          </a:extLst>
        </xdr:cNvPr>
        <xdr:cNvSpPr/>
      </xdr:nvSpPr>
      <xdr:spPr>
        <a:xfrm>
          <a:off x="6218141" y="19930006"/>
          <a:ext cx="2433936" cy="913846"/>
        </a:xfrm>
        <a:prstGeom prst="wedgeRoundRectCallout">
          <a:avLst>
            <a:gd name="adj1" fmla="val -73171"/>
            <a:gd name="adj2" fmla="val 2309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All review waiting</a:t>
          </a:r>
        </a:p>
        <a:p>
          <a:pPr algn="l"/>
          <a:r>
            <a:rPr lang="ja-JP" altLang="en-US" sz="1100">
              <a:solidFill>
                <a:srgbClr val="FF0000"/>
              </a:solidFill>
            </a:rPr>
            <a:t>・</a:t>
          </a:r>
          <a:r>
            <a:rPr lang="en-US" sz="1100" b="1" u="sng">
              <a:solidFill>
                <a:srgbClr val="FF0000"/>
              </a:solidFill>
            </a:rPr>
            <a:t>Need to discuss of released </a:t>
          </a:r>
          <a:r>
            <a:rPr lang="ja-JP" altLang="en-US" sz="1100" b="1" u="sng">
              <a:solidFill>
                <a:srgbClr val="FF0000"/>
              </a:solidFill>
            </a:rPr>
            <a:t>★</a:t>
          </a:r>
          <a:endParaRPr lang="en-US" altLang="ja-JP" sz="1100" b="1" u="sng">
            <a:solidFill>
              <a:srgbClr val="FF0000"/>
            </a:solidFill>
          </a:endParaRPr>
        </a:p>
        <a:p>
          <a:pPr algn="l"/>
          <a:r>
            <a:rPr lang="ja-JP" altLang="en-US" sz="1100" b="0" u="none">
              <a:solidFill>
                <a:srgbClr val="FF0000"/>
              </a:solidFill>
            </a:rPr>
            <a:t>・</a:t>
          </a:r>
          <a:r>
            <a:rPr lang="en-US" altLang="ja-JP" sz="1100" b="0" u="none">
              <a:solidFill>
                <a:srgbClr val="FF0000"/>
              </a:solidFill>
            </a:rPr>
            <a:t>Judge in</a:t>
          </a:r>
          <a:r>
            <a:rPr lang="en-US" altLang="ja-JP" sz="1100" b="0" u="none" baseline="0">
              <a:solidFill>
                <a:srgbClr val="FF0000"/>
              </a:solidFill>
            </a:rPr>
            <a:t> Kaizen evaluation</a:t>
          </a:r>
          <a:endParaRPr lang="en-US" sz="1100" b="0" u="none">
            <a:solidFill>
              <a:srgbClr val="FF0000"/>
            </a:solidFill>
          </a:endParaRPr>
        </a:p>
      </xdr:txBody>
    </xdr:sp>
    <xdr:clientData/>
  </xdr:twoCellAnchor>
  <xdr:twoCellAnchor>
    <xdr:from>
      <xdr:col>11</xdr:col>
      <xdr:colOff>71783</xdr:colOff>
      <xdr:row>14</xdr:row>
      <xdr:rowOff>265044</xdr:rowOff>
    </xdr:from>
    <xdr:to>
      <xdr:col>17</xdr:col>
      <xdr:colOff>33262</xdr:colOff>
      <xdr:row>14</xdr:row>
      <xdr:rowOff>969342</xdr:rowOff>
    </xdr:to>
    <xdr:sp macro="" textlink="">
      <xdr:nvSpPr>
        <xdr:cNvPr id="178" name="Speech Bubble: Rectangle with Corners Rounded 21">
          <a:extLst>
            <a:ext uri="{FF2B5EF4-FFF2-40B4-BE49-F238E27FC236}">
              <a16:creationId xmlns:a16="http://schemas.microsoft.com/office/drawing/2014/main" id="{C7577D2E-7012-41C4-A9E9-B2C4176E777A}"/>
            </a:ext>
          </a:extLst>
        </xdr:cNvPr>
        <xdr:cNvSpPr/>
      </xdr:nvSpPr>
      <xdr:spPr>
        <a:xfrm>
          <a:off x="6245087" y="4334566"/>
          <a:ext cx="2711305"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10</xdr:col>
      <xdr:colOff>325783</xdr:colOff>
      <xdr:row>12</xdr:row>
      <xdr:rowOff>314741</xdr:rowOff>
    </xdr:from>
    <xdr:to>
      <xdr:col>16</xdr:col>
      <xdr:colOff>290437</xdr:colOff>
      <xdr:row>12</xdr:row>
      <xdr:rowOff>1019039</xdr:rowOff>
    </xdr:to>
    <xdr:sp macro="" textlink="">
      <xdr:nvSpPr>
        <xdr:cNvPr id="177" name="Speech Bubble: Rectangle with Corners Rounded 22">
          <a:extLst>
            <a:ext uri="{FF2B5EF4-FFF2-40B4-BE49-F238E27FC236}">
              <a16:creationId xmlns:a16="http://schemas.microsoft.com/office/drawing/2014/main" id="{754741CF-FB64-8A98-C0D8-E4C186F37F07}"/>
            </a:ext>
          </a:extLst>
        </xdr:cNvPr>
        <xdr:cNvSpPr/>
      </xdr:nvSpPr>
      <xdr:spPr>
        <a:xfrm>
          <a:off x="6040783" y="2401958"/>
          <a:ext cx="2714480"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11</xdr:col>
      <xdr:colOff>126248</xdr:colOff>
      <xdr:row>15</xdr:row>
      <xdr:rowOff>102905</xdr:rowOff>
    </xdr:from>
    <xdr:to>
      <xdr:col>17</xdr:col>
      <xdr:colOff>94077</xdr:colOff>
      <xdr:row>15</xdr:row>
      <xdr:rowOff>807203</xdr:rowOff>
    </xdr:to>
    <xdr:sp macro="" textlink="">
      <xdr:nvSpPr>
        <xdr:cNvPr id="331" name="Speech Bubble: Rectangle with Corners Rounded 24">
          <a:extLst>
            <a:ext uri="{FF2B5EF4-FFF2-40B4-BE49-F238E27FC236}">
              <a16:creationId xmlns:a16="http://schemas.microsoft.com/office/drawing/2014/main" id="{07EFAC47-AD54-4070-B5C4-BA987ACC3108}"/>
            </a:ext>
          </a:extLst>
        </xdr:cNvPr>
        <xdr:cNvSpPr/>
      </xdr:nvSpPr>
      <xdr:spPr>
        <a:xfrm>
          <a:off x="6300180" y="5835223"/>
          <a:ext cx="2721420" cy="704298"/>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14</xdr:col>
      <xdr:colOff>94700</xdr:colOff>
      <xdr:row>17</xdr:row>
      <xdr:rowOff>180182</xdr:rowOff>
    </xdr:from>
    <xdr:to>
      <xdr:col>19</xdr:col>
      <xdr:colOff>230527</xdr:colOff>
      <xdr:row>17</xdr:row>
      <xdr:rowOff>809315</xdr:rowOff>
    </xdr:to>
    <xdr:sp macro="" textlink="">
      <xdr:nvSpPr>
        <xdr:cNvPr id="303" name="Speech Bubble: Rectangle with Corners Rounded 25">
          <a:extLst>
            <a:ext uri="{FF2B5EF4-FFF2-40B4-BE49-F238E27FC236}">
              <a16:creationId xmlns:a16="http://schemas.microsoft.com/office/drawing/2014/main" id="{46C8DD21-59A2-CA53-4FCD-FAEE6DCB876C}"/>
            </a:ext>
          </a:extLst>
        </xdr:cNvPr>
        <xdr:cNvSpPr/>
      </xdr:nvSpPr>
      <xdr:spPr>
        <a:xfrm>
          <a:off x="7642917" y="11328573"/>
          <a:ext cx="2714480" cy="629133"/>
        </a:xfrm>
        <a:prstGeom prst="wedgeRoundRectCallout">
          <a:avLst>
            <a:gd name="adj1" fmla="val -53856"/>
            <a:gd name="adj2" fmla="val 83680"/>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9</xdr:col>
      <xdr:colOff>434700</xdr:colOff>
      <xdr:row>18</xdr:row>
      <xdr:rowOff>130486</xdr:rowOff>
    </xdr:from>
    <xdr:to>
      <xdr:col>15</xdr:col>
      <xdr:colOff>396179</xdr:colOff>
      <xdr:row>18</xdr:row>
      <xdr:rowOff>759619</xdr:rowOff>
    </xdr:to>
    <xdr:sp macro="" textlink="">
      <xdr:nvSpPr>
        <xdr:cNvPr id="236" name="Speech Bubble: Rectangle with Corners Rounded 26">
          <a:extLst>
            <a:ext uri="{FF2B5EF4-FFF2-40B4-BE49-F238E27FC236}">
              <a16:creationId xmlns:a16="http://schemas.microsoft.com/office/drawing/2014/main" id="{D6E6C308-3275-46E1-3BC2-20613FB1B872}"/>
            </a:ext>
          </a:extLst>
        </xdr:cNvPr>
        <xdr:cNvSpPr/>
      </xdr:nvSpPr>
      <xdr:spPr>
        <a:xfrm>
          <a:off x="5691396" y="13813356"/>
          <a:ext cx="2711305" cy="629133"/>
        </a:xfrm>
        <a:prstGeom prst="wedgeRoundRectCallout">
          <a:avLst>
            <a:gd name="adj1" fmla="val -61188"/>
            <a:gd name="adj2" fmla="val 35408"/>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10</xdr:col>
      <xdr:colOff>274570</xdr:colOff>
      <xdr:row>21</xdr:row>
      <xdr:rowOff>122618</xdr:rowOff>
    </xdr:from>
    <xdr:to>
      <xdr:col>16</xdr:col>
      <xdr:colOff>236049</xdr:colOff>
      <xdr:row>21</xdr:row>
      <xdr:rowOff>751751</xdr:rowOff>
    </xdr:to>
    <xdr:sp macro="" textlink="">
      <xdr:nvSpPr>
        <xdr:cNvPr id="237" name="Speech Bubble: Rectangle with Corners Rounded 27">
          <a:extLst>
            <a:ext uri="{FF2B5EF4-FFF2-40B4-BE49-F238E27FC236}">
              <a16:creationId xmlns:a16="http://schemas.microsoft.com/office/drawing/2014/main" id="{D049C23D-383C-0CA6-FD5B-E39BACB24722}"/>
            </a:ext>
          </a:extLst>
        </xdr:cNvPr>
        <xdr:cNvSpPr/>
      </xdr:nvSpPr>
      <xdr:spPr>
        <a:xfrm>
          <a:off x="5989570" y="15075488"/>
          <a:ext cx="2711305" cy="629133"/>
        </a:xfrm>
        <a:prstGeom prst="wedgeRoundRectCallout">
          <a:avLst>
            <a:gd name="adj1" fmla="val -61188"/>
            <a:gd name="adj2" fmla="val 35408"/>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10</xdr:col>
      <xdr:colOff>392043</xdr:colOff>
      <xdr:row>24</xdr:row>
      <xdr:rowOff>298174</xdr:rowOff>
    </xdr:from>
    <xdr:to>
      <xdr:col>16</xdr:col>
      <xdr:colOff>353522</xdr:colOff>
      <xdr:row>24</xdr:row>
      <xdr:rowOff>927307</xdr:rowOff>
    </xdr:to>
    <xdr:sp macro="" textlink="">
      <xdr:nvSpPr>
        <xdr:cNvPr id="278" name="Speech Bubble: Rectangle with Corners Rounded 32">
          <a:extLst>
            <a:ext uri="{FF2B5EF4-FFF2-40B4-BE49-F238E27FC236}">
              <a16:creationId xmlns:a16="http://schemas.microsoft.com/office/drawing/2014/main" id="{137594D2-B05A-42E9-83E1-000A03D850ED}"/>
            </a:ext>
          </a:extLst>
        </xdr:cNvPr>
        <xdr:cNvSpPr/>
      </xdr:nvSpPr>
      <xdr:spPr>
        <a:xfrm>
          <a:off x="6107043" y="18409478"/>
          <a:ext cx="2711305" cy="629133"/>
        </a:xfrm>
        <a:prstGeom prst="wedgeRoundRectCallout">
          <a:avLst>
            <a:gd name="adj1" fmla="val -61188"/>
            <a:gd name="adj2" fmla="val 35408"/>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Additional</a:t>
          </a:r>
          <a:r>
            <a:rPr lang="en-US" altLang="ja-JP" sz="1100" baseline="0">
              <a:solidFill>
                <a:srgbClr val="FF0000"/>
              </a:solidFill>
            </a:rPr>
            <a:t> measure is needed</a:t>
          </a:r>
        </a:p>
        <a:p>
          <a:pPr algn="l"/>
          <a:r>
            <a:rPr lang="ja-JP" altLang="en-US" sz="1100" baseline="0">
              <a:solidFill>
                <a:srgbClr val="FF0000"/>
              </a:solidFill>
            </a:rPr>
            <a:t>・</a:t>
          </a:r>
          <a:r>
            <a:rPr lang="en-US" altLang="ja-JP" sz="1100" baseline="0">
              <a:solidFill>
                <a:srgbClr val="FF0000"/>
              </a:solidFill>
            </a:rPr>
            <a:t>But</a:t>
          </a:r>
          <a:r>
            <a:rPr lang="ja-JP" altLang="en-US" sz="1100" baseline="0">
              <a:solidFill>
                <a:srgbClr val="FF0000"/>
              </a:solidFill>
            </a:rPr>
            <a:t> </a:t>
          </a:r>
          <a:r>
            <a:rPr lang="en-US" altLang="ja-JP" sz="1100" baseline="0">
              <a:solidFill>
                <a:srgbClr val="FF0000"/>
              </a:solidFill>
            </a:rPr>
            <a:t>should m</a:t>
          </a:r>
          <a:r>
            <a:rPr lang="en-US" sz="1100">
              <a:solidFill>
                <a:srgbClr val="FF0000"/>
              </a:solidFill>
            </a:rPr>
            <a:t>ove</a:t>
          </a:r>
          <a:r>
            <a:rPr lang="en-US" sz="1100" baseline="0">
              <a:solidFill>
                <a:srgbClr val="FF0000"/>
              </a:solidFill>
            </a:rPr>
            <a:t> to Kaizen Phase</a:t>
          </a:r>
          <a:endParaRPr lang="en-US" sz="1100">
            <a:solidFill>
              <a:srgbClr val="FF0000"/>
            </a:solidFill>
          </a:endParaRPr>
        </a:p>
      </xdr:txBody>
    </xdr:sp>
    <xdr:clientData/>
  </xdr:twoCellAnchor>
  <xdr:twoCellAnchor>
    <xdr:from>
      <xdr:col>8</xdr:col>
      <xdr:colOff>295737</xdr:colOff>
      <xdr:row>25</xdr:row>
      <xdr:rowOff>629384</xdr:rowOff>
    </xdr:from>
    <xdr:to>
      <xdr:col>14</xdr:col>
      <xdr:colOff>9604</xdr:colOff>
      <xdr:row>25</xdr:row>
      <xdr:rowOff>1020026</xdr:rowOff>
    </xdr:to>
    <xdr:sp macro="" textlink="">
      <xdr:nvSpPr>
        <xdr:cNvPr id="133" name="Speech Bubble: Rectangle with Corners Rounded 33">
          <a:extLst>
            <a:ext uri="{FF2B5EF4-FFF2-40B4-BE49-F238E27FC236}">
              <a16:creationId xmlns:a16="http://schemas.microsoft.com/office/drawing/2014/main" id="{94765783-5264-23AB-7676-4C30C8F21EF9}"/>
            </a:ext>
          </a:extLst>
        </xdr:cNvPr>
        <xdr:cNvSpPr/>
      </xdr:nvSpPr>
      <xdr:spPr>
        <a:xfrm>
          <a:off x="5082050" y="2716947"/>
          <a:ext cx="2476117" cy="390642"/>
        </a:xfrm>
        <a:prstGeom prst="wedgeRoundRectCallout">
          <a:avLst>
            <a:gd name="adj1" fmla="val -61509"/>
            <a:gd name="adj2" fmla="val 82733"/>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solidFill>
                <a:srgbClr val="FF0000"/>
              </a:solidFill>
            </a:rPr>
            <a:t>・</a:t>
          </a:r>
          <a:r>
            <a:rPr lang="en-US" altLang="ja-JP" sz="1100">
              <a:solidFill>
                <a:srgbClr val="FF0000"/>
              </a:solidFill>
            </a:rPr>
            <a:t>Update status</a:t>
          </a:r>
          <a:endParaRPr lang="en-US" sz="1100">
            <a:solidFill>
              <a:srgbClr val="FF0000"/>
            </a:solidFill>
          </a:endParaRPr>
        </a:p>
      </xdr:txBody>
    </xdr:sp>
    <xdr:clientData/>
  </xdr:twoCellAnchor>
  <xdr:twoCellAnchor>
    <xdr:from>
      <xdr:col>1</xdr:col>
      <xdr:colOff>355023</xdr:colOff>
      <xdr:row>12</xdr:row>
      <xdr:rowOff>389659</xdr:rowOff>
    </xdr:from>
    <xdr:to>
      <xdr:col>4</xdr:col>
      <xdr:colOff>120506</xdr:colOff>
      <xdr:row>12</xdr:row>
      <xdr:rowOff>989509</xdr:rowOff>
    </xdr:to>
    <xdr:sp macro="" textlink="">
      <xdr:nvSpPr>
        <xdr:cNvPr id="330" name="Speech Bubble: Rectangle with Corners Rounded 1">
          <a:extLst>
            <a:ext uri="{FF2B5EF4-FFF2-40B4-BE49-F238E27FC236}">
              <a16:creationId xmlns:a16="http://schemas.microsoft.com/office/drawing/2014/main" id="{8C49E47E-2E9E-44C4-BFA1-8E68F02AA09F}"/>
            </a:ext>
          </a:extLst>
        </xdr:cNvPr>
        <xdr:cNvSpPr/>
      </xdr:nvSpPr>
      <xdr:spPr>
        <a:xfrm>
          <a:off x="528205" y="2467841"/>
          <a:ext cx="2484437"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r>
            <a:rPr lang="en-US" sz="1100" baseline="0">
              <a:solidFill>
                <a:srgbClr val="FF0000"/>
              </a:solidFill>
            </a:rPr>
            <a:t>(2024/2/26)</a:t>
          </a:r>
        </a:p>
      </xdr:txBody>
    </xdr:sp>
    <xdr:clientData/>
  </xdr:twoCellAnchor>
  <xdr:twoCellAnchor>
    <xdr:from>
      <xdr:col>1</xdr:col>
      <xdr:colOff>268432</xdr:colOff>
      <xdr:row>15</xdr:row>
      <xdr:rowOff>372341</xdr:rowOff>
    </xdr:from>
    <xdr:to>
      <xdr:col>4</xdr:col>
      <xdr:colOff>283029</xdr:colOff>
      <xdr:row>15</xdr:row>
      <xdr:rowOff>972191</xdr:rowOff>
    </xdr:to>
    <xdr:sp macro="" textlink="">
      <xdr:nvSpPr>
        <xdr:cNvPr id="9" name="Speech Bubble: Rectangle with Corners Rounded 1">
          <a:extLst>
            <a:ext uri="{FF2B5EF4-FFF2-40B4-BE49-F238E27FC236}">
              <a16:creationId xmlns:a16="http://schemas.microsoft.com/office/drawing/2014/main" id="{77462E79-3C1D-4E39-819A-68D3B1A5383D}"/>
            </a:ext>
          </a:extLst>
        </xdr:cNvPr>
        <xdr:cNvSpPr/>
      </xdr:nvSpPr>
      <xdr:spPr>
        <a:xfrm>
          <a:off x="431718" y="5630141"/>
          <a:ext cx="2507425"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p>
        <a:p>
          <a:pPr algn="l"/>
          <a:r>
            <a:rPr lang="en-US" sz="1100" baseline="0">
              <a:solidFill>
                <a:srgbClr val="FF0000"/>
              </a:solidFill>
            </a:rPr>
            <a:t>⇒2024/2/27 Change to Pass(Hirata)</a:t>
          </a:r>
        </a:p>
        <a:p>
          <a:pPr algn="l"/>
          <a:endParaRPr lang="en-US" sz="1100" baseline="0">
            <a:solidFill>
              <a:srgbClr val="FF0000"/>
            </a:solidFill>
          </a:endParaRPr>
        </a:p>
      </xdr:txBody>
    </xdr:sp>
    <xdr:clientData/>
  </xdr:twoCellAnchor>
  <xdr:twoCellAnchor>
    <xdr:from>
      <xdr:col>1</xdr:col>
      <xdr:colOff>293077</xdr:colOff>
      <xdr:row>16</xdr:row>
      <xdr:rowOff>373673</xdr:rowOff>
    </xdr:from>
    <xdr:to>
      <xdr:col>4</xdr:col>
      <xdr:colOff>58560</xdr:colOff>
      <xdr:row>16</xdr:row>
      <xdr:rowOff>973523</xdr:rowOff>
    </xdr:to>
    <xdr:sp macro="" textlink="">
      <xdr:nvSpPr>
        <xdr:cNvPr id="335" name="Speech Bubble: Rectangle with Corners Rounded 1">
          <a:extLst>
            <a:ext uri="{FF2B5EF4-FFF2-40B4-BE49-F238E27FC236}">
              <a16:creationId xmlns:a16="http://schemas.microsoft.com/office/drawing/2014/main" id="{F892BE78-E360-470C-A1C1-E07682482C00}"/>
            </a:ext>
          </a:extLst>
        </xdr:cNvPr>
        <xdr:cNvSpPr/>
      </xdr:nvSpPr>
      <xdr:spPr>
        <a:xfrm>
          <a:off x="461596" y="9217269"/>
          <a:ext cx="2476445"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r>
            <a:rPr lang="en-US" sz="1100" baseline="0">
              <a:solidFill>
                <a:srgbClr val="FF0000"/>
              </a:solidFill>
            </a:rPr>
            <a:t>(2024/2/26)</a:t>
          </a:r>
        </a:p>
      </xdr:txBody>
    </xdr:sp>
    <xdr:clientData/>
  </xdr:twoCellAnchor>
  <xdr:twoCellAnchor>
    <xdr:from>
      <xdr:col>1</xdr:col>
      <xdr:colOff>349250</xdr:colOff>
      <xdr:row>18</xdr:row>
      <xdr:rowOff>444500</xdr:rowOff>
    </xdr:from>
    <xdr:to>
      <xdr:col>4</xdr:col>
      <xdr:colOff>114733</xdr:colOff>
      <xdr:row>18</xdr:row>
      <xdr:rowOff>1044350</xdr:rowOff>
    </xdr:to>
    <xdr:sp macro="" textlink="">
      <xdr:nvSpPr>
        <xdr:cNvPr id="337" name="Speech Bubble: Rectangle with Corners Rounded 1">
          <a:extLst>
            <a:ext uri="{FF2B5EF4-FFF2-40B4-BE49-F238E27FC236}">
              <a16:creationId xmlns:a16="http://schemas.microsoft.com/office/drawing/2014/main" id="{7ACF3D50-F36F-48DE-B2F0-318F5C6F4034}"/>
            </a:ext>
          </a:extLst>
        </xdr:cNvPr>
        <xdr:cNvSpPr/>
      </xdr:nvSpPr>
      <xdr:spPr>
        <a:xfrm>
          <a:off x="523875" y="12128500"/>
          <a:ext cx="2472171"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r>
            <a:rPr lang="en-US" sz="1100" baseline="0">
              <a:solidFill>
                <a:srgbClr val="FF0000"/>
              </a:solidFill>
            </a:rPr>
            <a:t>(2024/2/26)</a:t>
          </a:r>
        </a:p>
      </xdr:txBody>
    </xdr:sp>
    <xdr:clientData/>
  </xdr:twoCellAnchor>
  <xdr:twoCellAnchor>
    <xdr:from>
      <xdr:col>1</xdr:col>
      <xdr:colOff>317500</xdr:colOff>
      <xdr:row>21</xdr:row>
      <xdr:rowOff>656166</xdr:rowOff>
    </xdr:from>
    <xdr:to>
      <xdr:col>4</xdr:col>
      <xdr:colOff>82983</xdr:colOff>
      <xdr:row>21</xdr:row>
      <xdr:rowOff>1256016</xdr:rowOff>
    </xdr:to>
    <xdr:sp macro="" textlink="">
      <xdr:nvSpPr>
        <xdr:cNvPr id="339" name="Speech Bubble: Rectangle with Corners Rounded 1">
          <a:extLst>
            <a:ext uri="{FF2B5EF4-FFF2-40B4-BE49-F238E27FC236}">
              <a16:creationId xmlns:a16="http://schemas.microsoft.com/office/drawing/2014/main" id="{D6E3321A-3D88-4D7D-B63B-FAF370EB28BF}"/>
            </a:ext>
          </a:extLst>
        </xdr:cNvPr>
        <xdr:cNvSpPr/>
      </xdr:nvSpPr>
      <xdr:spPr>
        <a:xfrm>
          <a:off x="486833" y="16139583"/>
          <a:ext cx="2474817"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Judge to</a:t>
          </a:r>
          <a:r>
            <a:rPr lang="en-US" sz="1100" baseline="0">
              <a:solidFill>
                <a:srgbClr val="FF0000"/>
              </a:solidFill>
            </a:rPr>
            <a:t> be released(2024/2/26)</a:t>
          </a:r>
        </a:p>
      </xdr:txBody>
    </xdr:sp>
    <xdr:clientData/>
  </xdr:twoCellAnchor>
  <xdr:twoCellAnchor>
    <xdr:from>
      <xdr:col>1</xdr:col>
      <xdr:colOff>450273</xdr:colOff>
      <xdr:row>25</xdr:row>
      <xdr:rowOff>822614</xdr:rowOff>
    </xdr:from>
    <xdr:to>
      <xdr:col>4</xdr:col>
      <xdr:colOff>215756</xdr:colOff>
      <xdr:row>25</xdr:row>
      <xdr:rowOff>1422464</xdr:rowOff>
    </xdr:to>
    <xdr:sp macro="" textlink="">
      <xdr:nvSpPr>
        <xdr:cNvPr id="351" name="Speech Bubble: Rectangle with Corners Rounded 1">
          <a:extLst>
            <a:ext uri="{FF2B5EF4-FFF2-40B4-BE49-F238E27FC236}">
              <a16:creationId xmlns:a16="http://schemas.microsoft.com/office/drawing/2014/main" id="{E8AB4911-C36B-4D72-8D89-AD1833F0A9EF}"/>
            </a:ext>
          </a:extLst>
        </xdr:cNvPr>
        <xdr:cNvSpPr/>
      </xdr:nvSpPr>
      <xdr:spPr>
        <a:xfrm>
          <a:off x="623455" y="25319182"/>
          <a:ext cx="2484437"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r>
            <a:rPr lang="en-US" sz="1100" baseline="0">
              <a:solidFill>
                <a:srgbClr val="FF0000"/>
              </a:solidFill>
            </a:rPr>
            <a:t>(2024/2/26)</a:t>
          </a:r>
        </a:p>
      </xdr:txBody>
    </xdr:sp>
    <xdr:clientData/>
  </xdr:twoCellAnchor>
  <xdr:twoCellAnchor>
    <xdr:from>
      <xdr:col>1</xdr:col>
      <xdr:colOff>294410</xdr:colOff>
      <xdr:row>22</xdr:row>
      <xdr:rowOff>1350818</xdr:rowOff>
    </xdr:from>
    <xdr:to>
      <xdr:col>4</xdr:col>
      <xdr:colOff>59893</xdr:colOff>
      <xdr:row>22</xdr:row>
      <xdr:rowOff>1950668</xdr:rowOff>
    </xdr:to>
    <xdr:sp macro="" textlink="">
      <xdr:nvSpPr>
        <xdr:cNvPr id="359" name="Speech Bubble: Rectangle with Corners Rounded 1">
          <a:extLst>
            <a:ext uri="{FF2B5EF4-FFF2-40B4-BE49-F238E27FC236}">
              <a16:creationId xmlns:a16="http://schemas.microsoft.com/office/drawing/2014/main" id="{36D063D2-1CEE-4EA6-A6EA-785FB3C20D80}"/>
            </a:ext>
          </a:extLst>
        </xdr:cNvPr>
        <xdr:cNvSpPr/>
      </xdr:nvSpPr>
      <xdr:spPr>
        <a:xfrm>
          <a:off x="467592" y="20643273"/>
          <a:ext cx="2484437" cy="599850"/>
        </a:xfrm>
        <a:prstGeom prst="wedgeRoundRectCallout">
          <a:avLst>
            <a:gd name="adj1" fmla="val -38360"/>
            <a:gd name="adj2" fmla="val 87055"/>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FF0000"/>
              </a:solidFill>
            </a:rPr>
            <a:t>Pass</a:t>
          </a:r>
          <a:r>
            <a:rPr lang="en-US" sz="1100" baseline="0">
              <a:solidFill>
                <a:srgbClr val="FF0000"/>
              </a:solidFill>
            </a:rPr>
            <a:t>(2024/2/26)</a:t>
          </a:r>
        </a:p>
      </xdr:txBody>
    </xdr:sp>
    <xdr:clientData/>
  </xdr:twoCellAnchor>
  <xdr:twoCellAnchor>
    <xdr:from>
      <xdr:col>1</xdr:col>
      <xdr:colOff>896938</xdr:colOff>
      <xdr:row>17</xdr:row>
      <xdr:rowOff>317500</xdr:rowOff>
    </xdr:from>
    <xdr:to>
      <xdr:col>3</xdr:col>
      <xdr:colOff>412435</xdr:colOff>
      <xdr:row>17</xdr:row>
      <xdr:rowOff>800714</xdr:rowOff>
    </xdr:to>
    <xdr:sp macro="" textlink="">
      <xdr:nvSpPr>
        <xdr:cNvPr id="376" name="Speech Bubble: Rectangle with Corners Rounded 2">
          <a:extLst>
            <a:ext uri="{FF2B5EF4-FFF2-40B4-BE49-F238E27FC236}">
              <a16:creationId xmlns:a16="http://schemas.microsoft.com/office/drawing/2014/main" id="{395F20D9-2710-42CB-B3B0-3DB37B2318E1}"/>
            </a:ext>
          </a:extLst>
        </xdr:cNvPr>
        <xdr:cNvSpPr/>
      </xdr:nvSpPr>
      <xdr:spPr>
        <a:xfrm>
          <a:off x="1071563" y="2405063"/>
          <a:ext cx="1682435" cy="483214"/>
        </a:xfrm>
        <a:prstGeom prst="wedgeRoundRectCallout">
          <a:avLst>
            <a:gd name="adj1" fmla="val -70129"/>
            <a:gd name="adj2" fmla="val 62601"/>
            <a:gd name="adj3" fmla="val 16667"/>
          </a:avLst>
        </a:prstGeom>
        <a:solidFill>
          <a:srgbClr val="FFC7CE"/>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rgbClr val="FF0000"/>
              </a:solidFill>
            </a:rPr>
            <a:t>Pass(2024/2/26)</a:t>
          </a:r>
          <a:endParaRPr lang="en-US"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19</xdr:col>
      <xdr:colOff>0</xdr:colOff>
      <xdr:row>81</xdr:row>
      <xdr:rowOff>0</xdr:rowOff>
    </xdr:from>
    <xdr:to>
      <xdr:col>35</xdr:col>
      <xdr:colOff>199025</xdr:colOff>
      <xdr:row>111</xdr:row>
      <xdr:rowOff>25730</xdr:rowOff>
    </xdr:to>
    <xdr:graphicFrame macro="">
      <xdr:nvGraphicFramePr>
        <xdr:cNvPr id="2" name="Chart 1">
          <a:extLst>
            <a:ext uri="{FF2B5EF4-FFF2-40B4-BE49-F238E27FC236}">
              <a16:creationId xmlns:a16="http://schemas.microsoft.com/office/drawing/2014/main" id="{8375035C-E866-4C40-B115-FC33879B81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17</xdr:col>
      <xdr:colOff>41292</xdr:colOff>
      <xdr:row>0</xdr:row>
      <xdr:rowOff>42142</xdr:rowOff>
    </xdr:from>
    <xdr:to>
      <xdr:col>27</xdr:col>
      <xdr:colOff>627446</xdr:colOff>
      <xdr:row>6</xdr:row>
      <xdr:rowOff>132137</xdr:rowOff>
    </xdr:to>
    <xdr:sp macro="" textlink="">
      <xdr:nvSpPr>
        <xdr:cNvPr id="7" name="Rectangle 2">
          <a:extLst>
            <a:ext uri="{FF2B5EF4-FFF2-40B4-BE49-F238E27FC236}">
              <a16:creationId xmlns:a16="http://schemas.microsoft.com/office/drawing/2014/main" id="{C21D2C98-497B-96A3-F258-A43C2F6BEC59}"/>
            </a:ext>
          </a:extLst>
        </xdr:cNvPr>
        <xdr:cNvSpPr/>
      </xdr:nvSpPr>
      <xdr:spPr>
        <a:xfrm>
          <a:off x="8516100" y="42142"/>
          <a:ext cx="6198577" cy="108157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050"/>
            <a:t>・</a:t>
          </a:r>
          <a:r>
            <a:rPr lang="en-US" altLang="ja-JP" sz="1050"/>
            <a:t>[Gelo] Add Okayama PRJ</a:t>
          </a:r>
          <a:r>
            <a:rPr lang="en-US" altLang="ja-JP" sz="1050" baseline="0"/>
            <a:t> column F to Q </a:t>
          </a:r>
          <a:r>
            <a:rPr lang="en-US" altLang="ja-JP" sz="1050"/>
            <a:t>by 4pm on Feb. 28 </a:t>
          </a:r>
          <a:r>
            <a:rPr lang="ja-JP" altLang="en-US" sz="1050"/>
            <a:t>→ </a:t>
          </a:r>
          <a:r>
            <a:rPr lang="en-US" altLang="ja-JP" sz="1050"/>
            <a:t>Done</a:t>
          </a:r>
        </a:p>
        <a:p>
          <a:pPr algn="l"/>
          <a:r>
            <a:rPr lang="ja-JP" altLang="en-US" sz="1050"/>
            <a:t>・</a:t>
          </a:r>
          <a:r>
            <a:rPr lang="en-US" altLang="ja-JP" sz="1050"/>
            <a:t>[Michael] Fill out Column</a:t>
          </a:r>
          <a:r>
            <a:rPr lang="en-US" altLang="ja-JP" sz="1050" baseline="0"/>
            <a:t> AL and AM </a:t>
          </a:r>
          <a:r>
            <a:rPr lang="en-US" sz="1050">
              <a:solidFill>
                <a:schemeClr val="lt1"/>
              </a:solidFill>
              <a:effectLst/>
              <a:latin typeface="+mn-lt"/>
              <a:ea typeface="+mn-ea"/>
              <a:cs typeface="+mn-cs"/>
            </a:rPr>
            <a:t>by 23pm on Feb. 28</a:t>
          </a: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100">
              <a:solidFill>
                <a:schemeClr val="lt1"/>
              </a:solidFill>
              <a:effectLst/>
              <a:latin typeface="+mn-lt"/>
              <a:ea typeface="+mn-ea"/>
              <a:cs typeface="+mn-cs"/>
            </a:rPr>
            <a:t>・</a:t>
          </a:r>
          <a:r>
            <a:rPr lang="en-US" sz="1100">
              <a:solidFill>
                <a:schemeClr val="lt1"/>
              </a:solidFill>
              <a:effectLst/>
              <a:latin typeface="+mn-lt"/>
              <a:ea typeface="+mn-ea"/>
              <a:cs typeface="+mn-cs"/>
            </a:rPr>
            <a:t>[Gelo/Michael] Fill out column AO by 4pm on Feb. 28 </a:t>
          </a:r>
          <a:r>
            <a:rPr lang="ja-JP" altLang="en-US" sz="1100">
              <a:solidFill>
                <a:schemeClr val="lt1"/>
              </a:solidFill>
              <a:effectLst/>
              <a:latin typeface="+mn-lt"/>
              <a:ea typeface="+mn-ea"/>
              <a:cs typeface="+mn-cs"/>
            </a:rPr>
            <a:t>→ </a:t>
          </a:r>
          <a:r>
            <a:rPr lang="en-US" altLang="ja-JP" sz="1100">
              <a:solidFill>
                <a:schemeClr val="lt1"/>
              </a:solidFill>
              <a:effectLst/>
              <a:latin typeface="+mn-lt"/>
              <a:ea typeface="+mn-ea"/>
              <a:cs typeface="+mn-cs"/>
            </a:rPr>
            <a:t>Done</a:t>
          </a:r>
          <a:endParaRPr lang="en-US"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1050">
              <a:solidFill>
                <a:schemeClr val="lt1"/>
              </a:solidFill>
              <a:effectLst/>
              <a:latin typeface="+mn-lt"/>
              <a:ea typeface="+mn-ea"/>
              <a:cs typeface="+mn-cs"/>
            </a:rPr>
            <a:t>・</a:t>
          </a:r>
          <a:r>
            <a:rPr lang="en-US" altLang="ja-JP" sz="1050">
              <a:solidFill>
                <a:schemeClr val="lt1"/>
              </a:solidFill>
              <a:effectLst/>
              <a:latin typeface="+mn-lt"/>
              <a:ea typeface="+mn-ea"/>
              <a:cs typeface="+mn-cs"/>
            </a:rPr>
            <a:t>[Gelo/Michael] Both English and Japanese are needed on column</a:t>
          </a:r>
          <a:r>
            <a:rPr lang="en-US" altLang="ja-JP" sz="1050" baseline="0">
              <a:solidFill>
                <a:schemeClr val="lt1"/>
              </a:solidFill>
              <a:effectLst/>
              <a:latin typeface="+mn-lt"/>
              <a:ea typeface="+mn-ea"/>
              <a:cs typeface="+mn-cs"/>
            </a:rPr>
            <a:t> AA/AB/AL/AM by 6pm on Feb. 29</a:t>
          </a:r>
          <a:endParaRPr lang="en-US" sz="1050">
            <a:solidFill>
              <a:schemeClr val="lt1"/>
            </a:solidFill>
            <a:effectLst/>
            <a:latin typeface="+mn-lt"/>
            <a:ea typeface="+mn-ea"/>
            <a:cs typeface="+mn-cs"/>
          </a:endParaRPr>
        </a:p>
      </xdr:txBody>
    </xdr:sp>
    <xdr:clientData/>
  </xdr:twoCellAnchor>
  <xdr:twoCellAnchor>
    <xdr:from>
      <xdr:col>27</xdr:col>
      <xdr:colOff>920522</xdr:colOff>
      <xdr:row>0</xdr:row>
      <xdr:rowOff>35548</xdr:rowOff>
    </xdr:from>
    <xdr:to>
      <xdr:col>30</xdr:col>
      <xdr:colOff>225197</xdr:colOff>
      <xdr:row>6</xdr:row>
      <xdr:rowOff>128718</xdr:rowOff>
    </xdr:to>
    <xdr:sp macro="" textlink="">
      <xdr:nvSpPr>
        <xdr:cNvPr id="339" name="Rectangle 2">
          <a:extLst>
            <a:ext uri="{FF2B5EF4-FFF2-40B4-BE49-F238E27FC236}">
              <a16:creationId xmlns:a16="http://schemas.microsoft.com/office/drawing/2014/main" id="{6245ECD5-ACF3-53EF-9999-74CB2D937FCB}"/>
            </a:ext>
          </a:extLst>
        </xdr:cNvPr>
        <xdr:cNvSpPr/>
      </xdr:nvSpPr>
      <xdr:spPr>
        <a:xfrm>
          <a:off x="15007753" y="35548"/>
          <a:ext cx="6201752" cy="108474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050"/>
            <a:t>・</a:t>
          </a:r>
          <a:r>
            <a:rPr lang="en-US" altLang="ja-JP" sz="1050"/>
            <a:t>[Gelo] Check quality data if there</a:t>
          </a:r>
          <a:r>
            <a:rPr lang="en-US" altLang="ja-JP" sz="1050" baseline="0"/>
            <a:t> is no quality by 4pm on March 1</a:t>
          </a:r>
          <a:endParaRPr lang="en-US" sz="1050">
            <a:solidFill>
              <a:schemeClr val="lt1"/>
            </a:solidFill>
            <a:effectLst/>
            <a:latin typeface="+mn-lt"/>
            <a:ea typeface="+mn-ea"/>
            <a:cs typeface="+mn-cs"/>
          </a:endParaRPr>
        </a:p>
      </xdr:txBody>
    </xdr:sp>
    <xdr:clientData/>
  </xdr:twoCellAnchor>
  <xdr:twoCellAnchor>
    <xdr:from>
      <xdr:col>1</xdr:col>
      <xdr:colOff>960438</xdr:colOff>
      <xdr:row>26</xdr:row>
      <xdr:rowOff>722312</xdr:rowOff>
    </xdr:from>
    <xdr:to>
      <xdr:col>5</xdr:col>
      <xdr:colOff>254000</xdr:colOff>
      <xdr:row>26</xdr:row>
      <xdr:rowOff>1428749</xdr:rowOff>
    </xdr:to>
    <xdr:sp macro="" textlink="">
      <xdr:nvSpPr>
        <xdr:cNvPr id="2" name="Speech Bubble: Rectangle with Corners Rounded 1">
          <a:extLst>
            <a:ext uri="{FF2B5EF4-FFF2-40B4-BE49-F238E27FC236}">
              <a16:creationId xmlns:a16="http://schemas.microsoft.com/office/drawing/2014/main" id="{53C4B9E1-F8D3-272D-01D4-A3226313D24A}"/>
            </a:ext>
          </a:extLst>
        </xdr:cNvPr>
        <xdr:cNvSpPr/>
      </xdr:nvSpPr>
      <xdr:spPr>
        <a:xfrm>
          <a:off x="1135063" y="2603500"/>
          <a:ext cx="2540000" cy="706437"/>
        </a:xfrm>
        <a:prstGeom prst="wedgeRoundRectCallout">
          <a:avLst>
            <a:gd name="adj1" fmla="val -53021"/>
            <a:gd name="adj2" fmla="val 88176"/>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Candidate of relased</a:t>
          </a:r>
        </a:p>
        <a:p>
          <a:pPr algn="l"/>
          <a:r>
            <a:rPr lang="en-US" sz="1100"/>
            <a:t>Is there any reason</a:t>
          </a:r>
          <a:r>
            <a:rPr lang="en-US" sz="1100" baseline="0"/>
            <a:t> for deliber to JGG?</a:t>
          </a:r>
          <a:endParaRPr lang="en-US" sz="1100"/>
        </a:p>
      </xdr:txBody>
    </xdr:sp>
    <xdr:clientData/>
  </xdr:twoCellAnchor>
  <xdr:twoCellAnchor>
    <xdr:from>
      <xdr:col>1</xdr:col>
      <xdr:colOff>404813</xdr:colOff>
      <xdr:row>33</xdr:row>
      <xdr:rowOff>309562</xdr:rowOff>
    </xdr:from>
    <xdr:to>
      <xdr:col>5</xdr:col>
      <xdr:colOff>293688</xdr:colOff>
      <xdr:row>33</xdr:row>
      <xdr:rowOff>1484312</xdr:rowOff>
    </xdr:to>
    <xdr:sp macro="" textlink="">
      <xdr:nvSpPr>
        <xdr:cNvPr id="6" name="Speech Bubble: Rectangle with Corners Rounded 5">
          <a:extLst>
            <a:ext uri="{FF2B5EF4-FFF2-40B4-BE49-F238E27FC236}">
              <a16:creationId xmlns:a16="http://schemas.microsoft.com/office/drawing/2014/main" id="{EEFE2320-5DEA-F82E-FCC5-EC19053F6EE1}"/>
            </a:ext>
          </a:extLst>
        </xdr:cNvPr>
        <xdr:cNvSpPr/>
      </xdr:nvSpPr>
      <xdr:spPr>
        <a:xfrm>
          <a:off x="579438" y="2190750"/>
          <a:ext cx="3135313" cy="1174750"/>
        </a:xfrm>
        <a:prstGeom prst="wedgeRoundRectCallout">
          <a:avLst>
            <a:gd name="adj1" fmla="val -42777"/>
            <a:gd name="adj2" fmla="val 69513"/>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t>・</a:t>
          </a:r>
          <a:r>
            <a:rPr lang="en-US" altLang="ja-JP" sz="1100"/>
            <a:t>Reason of low progress even if the</a:t>
          </a:r>
          <a:r>
            <a:rPr lang="en-US" altLang="ja-JP" sz="1100" baseline="0"/>
            <a:t> member has high productivity</a:t>
          </a:r>
        </a:p>
        <a:p>
          <a:pPr algn="l"/>
          <a:r>
            <a:rPr lang="ja-JP" altLang="en-US" sz="1100" baseline="0"/>
            <a:t>・</a:t>
          </a:r>
          <a:r>
            <a:rPr lang="en-US" altLang="ja-JP" sz="1100" baseline="0"/>
            <a:t>Supporting member affeect the progress?</a:t>
          </a:r>
        </a:p>
        <a:p>
          <a:pPr algn="l"/>
          <a:r>
            <a:rPr lang="ja-JP" altLang="en-US" sz="1100"/>
            <a:t>・</a:t>
          </a:r>
          <a:endParaRPr lang="en-US" sz="1100"/>
        </a:p>
      </xdr:txBody>
    </xdr:sp>
    <xdr:clientData/>
  </xdr:twoCellAnchor>
  <xdr:twoCellAnchor>
    <xdr:from>
      <xdr:col>1</xdr:col>
      <xdr:colOff>317500</xdr:colOff>
      <xdr:row>30</xdr:row>
      <xdr:rowOff>484188</xdr:rowOff>
    </xdr:from>
    <xdr:to>
      <xdr:col>5</xdr:col>
      <xdr:colOff>254000</xdr:colOff>
      <xdr:row>30</xdr:row>
      <xdr:rowOff>1230312</xdr:rowOff>
    </xdr:to>
    <xdr:sp macro="" textlink="">
      <xdr:nvSpPr>
        <xdr:cNvPr id="8" name="Speech Bubble: Rectangle with Corners Rounded 7">
          <a:extLst>
            <a:ext uri="{FF2B5EF4-FFF2-40B4-BE49-F238E27FC236}">
              <a16:creationId xmlns:a16="http://schemas.microsoft.com/office/drawing/2014/main" id="{D3A23680-4380-4320-95C7-BD97D305DB38}"/>
            </a:ext>
          </a:extLst>
        </xdr:cNvPr>
        <xdr:cNvSpPr/>
      </xdr:nvSpPr>
      <xdr:spPr>
        <a:xfrm>
          <a:off x="492125" y="10287001"/>
          <a:ext cx="3182938" cy="746124"/>
        </a:xfrm>
        <a:prstGeom prst="wedgeRoundRectCallout">
          <a:avLst>
            <a:gd name="adj1" fmla="val -40370"/>
            <a:gd name="adj2" fmla="val 129779"/>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a:t>・</a:t>
          </a:r>
          <a:r>
            <a:rPr lang="en-US" altLang="ja-JP" sz="1100"/>
            <a:t>Reason why low progress even</a:t>
          </a:r>
          <a:r>
            <a:rPr lang="en-US" altLang="ja-JP" sz="1100" baseline="0"/>
            <a:t> if high productivity?</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626696</xdr:colOff>
      <xdr:row>33</xdr:row>
      <xdr:rowOff>39076</xdr:rowOff>
    </xdr:from>
    <xdr:to>
      <xdr:col>33</xdr:col>
      <xdr:colOff>18910</xdr:colOff>
      <xdr:row>65</xdr:row>
      <xdr:rowOff>43960</xdr:rowOff>
    </xdr:to>
    <xdr:graphicFrame macro="">
      <xdr:nvGraphicFramePr>
        <xdr:cNvPr id="7" name="Chart 1">
          <a:extLst>
            <a:ext uri="{FF2B5EF4-FFF2-40B4-BE49-F238E27FC236}">
              <a16:creationId xmlns:a16="http://schemas.microsoft.com/office/drawing/2014/main" id="{A4489236-14E9-46B4-B1B3-117D55C50C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fujitsu.sharepoint.com/sites/jp-FujitsuDP-04624/Shared%20Documents/FUJITSU-CONFIDENTIAL/077_&#29066;&#26412;&#24066;&#20154;&#32102;&#24246;&#21209;/03_GDC&#8594;JGG/&#36914;&#25431;&#22577;&#21578;/GDC-InternalTracker.xlsx" TargetMode="External"/><Relationship Id="rId1" Type="http://schemas.openxmlformats.org/officeDocument/2006/relationships/externalLinkPath" Target="/sites/jp-FujitsuDP-04624/Shared%20Documents/FUJITSU-CONFIDENTIAL/077_&#29066;&#26412;&#24066;&#20154;&#32102;&#24246;&#21209;/03_GDC&#8594;JGG/&#36914;&#25431;&#22577;&#21578;/GDC-InternalTrack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zaMHd6PoMEu-wS-9OuJIfQLifNYXHbFMqsKThjgDwCnUhaWKg_-wSo1D07bcO6WG" itemId="01DRFWINGOX5VEZT6AOJCKT7RILXU2IY5A">
      <xxl21:absoluteUrl r:id="rId2"/>
    </xxl21:alternateUrls>
    <sheetNames>
      <sheetName val="FJJ tracker-Mirror"/>
      <sheetName val="Burndown Chart - Overall"/>
      <sheetName val="DropDown Value"/>
      <sheetName val="Productivity-MH"/>
      <sheetName val="Delays-Overall"/>
      <sheetName val="Delays-perTask"/>
      <sheetName val="Burndown Chart - Kumamoto"/>
      <sheetName val="Burndown Chart - Hiroshima"/>
      <sheetName val="Quality"/>
      <sheetName val="Productivity Chart"/>
      <sheetName val="Team E - tracker"/>
      <sheetName val="Delays-PerPhase"/>
      <sheetName val="FJJ tracker-Mirror (Kaizen)"/>
    </sheetNames>
    <sheetDataSet>
      <sheetData sheetId="0"/>
      <sheetData sheetId="1"/>
      <sheetData sheetId="2"/>
      <sheetData sheetId="3">
        <row r="1">
          <cell r="B1">
            <v>1</v>
          </cell>
          <cell r="C1">
            <v>2</v>
          </cell>
          <cell r="D1">
            <v>3</v>
          </cell>
          <cell r="E1">
            <v>4</v>
          </cell>
          <cell r="F1">
            <v>5</v>
          </cell>
          <cell r="G1">
            <v>6</v>
          </cell>
          <cell r="H1">
            <v>7</v>
          </cell>
          <cell r="I1">
            <v>8</v>
          </cell>
          <cell r="J1">
            <v>9</v>
          </cell>
          <cell r="K1">
            <v>10</v>
          </cell>
          <cell r="L1">
            <v>11</v>
          </cell>
          <cell r="M1">
            <v>12</v>
          </cell>
          <cell r="N1">
            <v>13</v>
          </cell>
          <cell r="O1">
            <v>14</v>
          </cell>
          <cell r="P1">
            <v>15</v>
          </cell>
          <cell r="Q1">
            <v>16</v>
          </cell>
          <cell r="R1">
            <v>17</v>
          </cell>
          <cell r="S1">
            <v>18</v>
          </cell>
          <cell r="T1">
            <v>19</v>
          </cell>
          <cell r="U1">
            <v>20</v>
          </cell>
          <cell r="V1">
            <v>21</v>
          </cell>
          <cell r="W1">
            <v>22</v>
          </cell>
          <cell r="X1">
            <v>23</v>
          </cell>
          <cell r="Y1">
            <v>24</v>
          </cell>
          <cell r="Z1">
            <v>25</v>
          </cell>
          <cell r="AA1">
            <v>26</v>
          </cell>
          <cell r="AB1">
            <v>27</v>
          </cell>
          <cell r="AC1">
            <v>28</v>
          </cell>
          <cell r="AD1">
            <v>29</v>
          </cell>
          <cell r="AE1">
            <v>30</v>
          </cell>
          <cell r="AF1">
            <v>31</v>
          </cell>
          <cell r="AG1">
            <v>32</v>
          </cell>
          <cell r="AH1">
            <v>33</v>
          </cell>
          <cell r="AI1">
            <v>34</v>
          </cell>
          <cell r="AJ1">
            <v>35</v>
          </cell>
          <cell r="AK1">
            <v>36</v>
          </cell>
          <cell r="AL1">
            <v>37</v>
          </cell>
          <cell r="AM1">
            <v>38</v>
          </cell>
          <cell r="AN1">
            <v>39</v>
          </cell>
          <cell r="AO1">
            <v>40</v>
          </cell>
          <cell r="AP1">
            <v>41</v>
          </cell>
          <cell r="AQ1">
            <v>42</v>
          </cell>
          <cell r="AR1">
            <v>43</v>
          </cell>
          <cell r="AS1">
            <v>44</v>
          </cell>
          <cell r="AT1">
            <v>45</v>
          </cell>
          <cell r="AU1">
            <v>46</v>
          </cell>
          <cell r="AV1">
            <v>47</v>
          </cell>
          <cell r="AW1">
            <v>48</v>
          </cell>
          <cell r="AX1">
            <v>49</v>
          </cell>
          <cell r="AY1">
            <v>50</v>
          </cell>
          <cell r="AZ1">
            <v>51</v>
          </cell>
          <cell r="BA1">
            <v>52</v>
          </cell>
          <cell r="BB1">
            <v>53</v>
          </cell>
          <cell r="BC1">
            <v>54</v>
          </cell>
          <cell r="BD1">
            <v>55</v>
          </cell>
          <cell r="BE1">
            <v>56</v>
          </cell>
          <cell r="BF1">
            <v>57</v>
          </cell>
          <cell r="BG1">
            <v>58</v>
          </cell>
          <cell r="BH1">
            <v>59</v>
          </cell>
          <cell r="BI1">
            <v>60</v>
          </cell>
          <cell r="BJ1">
            <v>61</v>
          </cell>
          <cell r="BK1">
            <v>62</v>
          </cell>
          <cell r="BL1">
            <v>63</v>
          </cell>
          <cell r="BM1">
            <v>64</v>
          </cell>
          <cell r="BN1">
            <v>65</v>
          </cell>
          <cell r="BO1">
            <v>66</v>
          </cell>
          <cell r="BP1">
            <v>67</v>
          </cell>
          <cell r="BQ1">
            <v>68</v>
          </cell>
          <cell r="BR1">
            <v>69</v>
          </cell>
          <cell r="BS1">
            <v>70</v>
          </cell>
          <cell r="BT1">
            <v>71</v>
          </cell>
          <cell r="BU1">
            <v>72</v>
          </cell>
          <cell r="BV1">
            <v>73</v>
          </cell>
          <cell r="BW1">
            <v>74</v>
          </cell>
          <cell r="BX1">
            <v>75</v>
          </cell>
          <cell r="BY1">
            <v>76</v>
          </cell>
          <cell r="BZ1">
            <v>77</v>
          </cell>
          <cell r="CA1">
            <v>78</v>
          </cell>
          <cell r="CB1">
            <v>79</v>
          </cell>
          <cell r="CC1">
            <v>80</v>
          </cell>
          <cell r="CD1">
            <v>81</v>
          </cell>
        </row>
        <row r="2">
          <cell r="B2" t="str">
            <v>RJ04110G</v>
          </cell>
          <cell r="C2" t="str">
            <v>Task 1</v>
          </cell>
          <cell r="D2"/>
          <cell r="E2"/>
          <cell r="F2"/>
          <cell r="G2"/>
          <cell r="H2"/>
          <cell r="I2"/>
          <cell r="J2"/>
          <cell r="K2"/>
          <cell r="L2"/>
          <cell r="M2" t="str">
            <v>Task 2</v>
          </cell>
          <cell r="N2"/>
          <cell r="O2"/>
          <cell r="P2"/>
          <cell r="Q2"/>
          <cell r="R2"/>
          <cell r="S2"/>
          <cell r="T2"/>
          <cell r="U2"/>
          <cell r="V2"/>
          <cell r="W2" t="str">
            <v>Task 3</v>
          </cell>
          <cell r="X2"/>
          <cell r="Y2"/>
          <cell r="Z2"/>
          <cell r="AA2"/>
          <cell r="AB2"/>
          <cell r="AC2"/>
          <cell r="AD2"/>
          <cell r="AE2"/>
          <cell r="AF2"/>
          <cell r="AG2" t="str">
            <v>Task 4</v>
          </cell>
          <cell r="AQ2" t="str">
            <v>Task 5</v>
          </cell>
          <cell r="AR2"/>
          <cell r="AS2"/>
          <cell r="AT2"/>
          <cell r="AU2"/>
          <cell r="AV2"/>
          <cell r="AW2"/>
          <cell r="AX2"/>
          <cell r="AY2"/>
          <cell r="AZ2"/>
          <cell r="BA2" t="str">
            <v>Task 6</v>
          </cell>
          <cell r="BB2"/>
          <cell r="BC2"/>
          <cell r="BD2"/>
          <cell r="BE2"/>
          <cell r="BF2"/>
          <cell r="BG2"/>
          <cell r="BH2"/>
          <cell r="BI2"/>
          <cell r="BJ2"/>
          <cell r="BK2" t="str">
            <v>Task 7</v>
          </cell>
          <cell r="BL2"/>
          <cell r="BM2"/>
          <cell r="BN2"/>
          <cell r="BO2"/>
          <cell r="BP2"/>
          <cell r="BQ2"/>
          <cell r="BR2"/>
          <cell r="BS2"/>
          <cell r="BT2"/>
          <cell r="BU2" t="str">
            <v>Task 8</v>
          </cell>
          <cell r="BV2"/>
          <cell r="BW2"/>
          <cell r="BX2"/>
          <cell r="BY2"/>
          <cell r="BZ2"/>
          <cell r="CA2"/>
          <cell r="CB2"/>
          <cell r="CC2"/>
          <cell r="CD2"/>
        </row>
        <row r="3">
          <cell r="C3" t="str">
            <v>ID</v>
          </cell>
          <cell r="D3" t="str">
            <v>Index</v>
          </cell>
          <cell r="E3" t="str">
            <v>PTS</v>
          </cell>
          <cell r="F3" t="str">
            <v>PG</v>
          </cell>
          <cell r="G3" t="str">
            <v>PTE</v>
          </cell>
          <cell r="H3" t="str">
            <v>Total MH</v>
          </cell>
          <cell r="I3" t="str">
            <v>Scale</v>
          </cell>
          <cell r="J3" t="str">
            <v>Scale-&gt;MH</v>
          </cell>
          <cell r="K3" t="str">
            <v>KS-Step</v>
          </cell>
          <cell r="L3" t="str">
            <v>Findings</v>
          </cell>
          <cell r="M3" t="str">
            <v>ID</v>
          </cell>
          <cell r="N3" t="str">
            <v>Index</v>
          </cell>
          <cell r="O3" t="str">
            <v>PTS</v>
          </cell>
          <cell r="P3" t="str">
            <v>PG</v>
          </cell>
          <cell r="Q3" t="str">
            <v>PTE</v>
          </cell>
          <cell r="R3" t="str">
            <v>Total MH</v>
          </cell>
          <cell r="S3" t="str">
            <v>Scale</v>
          </cell>
          <cell r="T3" t="str">
            <v>Scale-&gt;MH</v>
          </cell>
          <cell r="U3" t="str">
            <v>KS-Step</v>
          </cell>
          <cell r="V3" t="str">
            <v>Findings</v>
          </cell>
          <cell r="W3" t="str">
            <v>ID</v>
          </cell>
          <cell r="X3" t="str">
            <v>Index</v>
          </cell>
          <cell r="Y3" t="str">
            <v>PTS</v>
          </cell>
          <cell r="Z3" t="str">
            <v>PG</v>
          </cell>
          <cell r="AA3" t="str">
            <v>PTE</v>
          </cell>
          <cell r="AB3" t="str">
            <v>Total MH</v>
          </cell>
          <cell r="AC3" t="str">
            <v>Scale</v>
          </cell>
          <cell r="AD3" t="str">
            <v>Scale-&gt;MH</v>
          </cell>
          <cell r="AE3" t="str">
            <v>KS-Step</v>
          </cell>
          <cell r="AF3" t="str">
            <v>Findings</v>
          </cell>
          <cell r="AG3" t="str">
            <v>ID</v>
          </cell>
          <cell r="AH3" t="str">
            <v>Index</v>
          </cell>
          <cell r="AI3" t="str">
            <v>PTS</v>
          </cell>
          <cell r="AJ3" t="str">
            <v>PG</v>
          </cell>
          <cell r="AK3" t="str">
            <v>PTE</v>
          </cell>
          <cell r="AL3" t="str">
            <v>Total MH</v>
          </cell>
          <cell r="AM3" t="str">
            <v>Scale</v>
          </cell>
          <cell r="AN3" t="str">
            <v>Scale-&gt;MH</v>
          </cell>
          <cell r="AO3" t="str">
            <v>KS-Step</v>
          </cell>
          <cell r="AP3" t="str">
            <v>Findings</v>
          </cell>
          <cell r="AQ3" t="str">
            <v>ID</v>
          </cell>
          <cell r="AR3" t="str">
            <v>Index</v>
          </cell>
          <cell r="AS3" t="str">
            <v>PTS</v>
          </cell>
          <cell r="AT3" t="str">
            <v>PG</v>
          </cell>
          <cell r="AU3" t="str">
            <v>PTE</v>
          </cell>
          <cell r="AV3" t="str">
            <v>Total MH</v>
          </cell>
          <cell r="AW3" t="str">
            <v>Scale</v>
          </cell>
          <cell r="AX3" t="str">
            <v>Scale-&gt;MH</v>
          </cell>
          <cell r="AY3" t="str">
            <v>KS-Step</v>
          </cell>
          <cell r="AZ3" t="str">
            <v>Findings</v>
          </cell>
          <cell r="BA3" t="str">
            <v>ID</v>
          </cell>
          <cell r="BB3" t="str">
            <v>Index</v>
          </cell>
          <cell r="BC3" t="str">
            <v>PTS</v>
          </cell>
          <cell r="BD3" t="str">
            <v>PG</v>
          </cell>
          <cell r="BE3" t="str">
            <v>PTE</v>
          </cell>
          <cell r="BF3" t="str">
            <v>Total MH</v>
          </cell>
          <cell r="BG3" t="str">
            <v>Scale</v>
          </cell>
          <cell r="BH3" t="str">
            <v>Scale-&gt;MH</v>
          </cell>
          <cell r="BI3" t="str">
            <v>KS-Step</v>
          </cell>
          <cell r="BJ3" t="str">
            <v>Findings</v>
          </cell>
          <cell r="BK3" t="str">
            <v>ID</v>
          </cell>
          <cell r="BL3" t="str">
            <v>Index</v>
          </cell>
          <cell r="BM3" t="str">
            <v>PTS</v>
          </cell>
          <cell r="BN3" t="str">
            <v>PG</v>
          </cell>
          <cell r="BO3" t="str">
            <v>PTE</v>
          </cell>
          <cell r="BP3" t="str">
            <v>Total MH</v>
          </cell>
          <cell r="BQ3" t="str">
            <v>Scale</v>
          </cell>
          <cell r="BR3" t="str">
            <v>Scale-&gt;MH</v>
          </cell>
          <cell r="BS3" t="str">
            <v>KS-Step</v>
          </cell>
          <cell r="BT3" t="str">
            <v>Findings</v>
          </cell>
          <cell r="BU3" t="str">
            <v>ID</v>
          </cell>
          <cell r="BV3" t="str">
            <v>Index</v>
          </cell>
          <cell r="BW3" t="str">
            <v>PTS</v>
          </cell>
          <cell r="BX3" t="str">
            <v>PG</v>
          </cell>
          <cell r="BY3" t="str">
            <v>PTE</v>
          </cell>
          <cell r="BZ3" t="str">
            <v>Total MH</v>
          </cell>
          <cell r="CA3" t="str">
            <v>Scale</v>
          </cell>
          <cell r="CB3" t="str">
            <v>Scale-&gt;MH</v>
          </cell>
          <cell r="CC3" t="str">
            <v>KS-Step</v>
          </cell>
          <cell r="CD3" t="str">
            <v>Findings</v>
          </cell>
        </row>
        <row r="4">
          <cell r="B4" t="str">
            <v>Dino, Paul David</v>
          </cell>
          <cell r="C4" t="str">
            <v>RJ02020G</v>
          </cell>
          <cell r="D4">
            <v>509</v>
          </cell>
          <cell r="E4">
            <v>1</v>
          </cell>
          <cell r="F4">
            <v>15</v>
          </cell>
          <cell r="G4">
            <v>13</v>
          </cell>
          <cell r="H4">
            <v>29</v>
          </cell>
          <cell r="I4">
            <v>2.875</v>
          </cell>
          <cell r="J4">
            <v>23</v>
          </cell>
          <cell r="K4">
            <v>1.5409999999999999</v>
          </cell>
          <cell r="L4">
            <v>8</v>
          </cell>
          <cell r="M4" t="str">
            <v>RJ02021G</v>
          </cell>
          <cell r="N4">
            <v>510</v>
          </cell>
          <cell r="O4">
            <v>1</v>
          </cell>
          <cell r="P4">
            <v>11</v>
          </cell>
          <cell r="Q4">
            <v>5</v>
          </cell>
          <cell r="R4">
            <v>17</v>
          </cell>
          <cell r="S4">
            <v>2.8375000000000004</v>
          </cell>
          <cell r="T4">
            <v>22.700000000000003</v>
          </cell>
          <cell r="U4">
            <v>0.39700000000000002</v>
          </cell>
          <cell r="V4">
            <v>3</v>
          </cell>
          <cell r="W4" t="str">
            <v>N204390G</v>
          </cell>
          <cell r="X4">
            <v>292</v>
          </cell>
          <cell r="Y4">
            <v>1</v>
          </cell>
          <cell r="Z4">
            <v>6</v>
          </cell>
          <cell r="AA4">
            <v>10</v>
          </cell>
          <cell r="AB4">
            <v>17</v>
          </cell>
          <cell r="AC4">
            <v>2.8375000000000004</v>
          </cell>
          <cell r="AD4">
            <v>22.700000000000003</v>
          </cell>
          <cell r="AE4">
            <v>0.32100000000000001</v>
          </cell>
          <cell r="AF4">
            <v>0</v>
          </cell>
          <cell r="AG4" t="str">
            <v>N204391G</v>
          </cell>
          <cell r="AH4">
            <v>293</v>
          </cell>
          <cell r="AI4">
            <v>1</v>
          </cell>
          <cell r="AJ4">
            <v>5</v>
          </cell>
          <cell r="AK4">
            <v>5</v>
          </cell>
          <cell r="AL4">
            <v>11</v>
          </cell>
          <cell r="AM4">
            <v>1.95</v>
          </cell>
          <cell r="AN4">
            <v>15.6</v>
          </cell>
          <cell r="AO4">
            <v>0.55300000000000005</v>
          </cell>
          <cell r="AP4">
            <v>3</v>
          </cell>
          <cell r="AQ4" t="str">
            <v>N206280G</v>
          </cell>
          <cell r="AR4">
            <v>338</v>
          </cell>
          <cell r="AS4">
            <v>1</v>
          </cell>
          <cell r="AT4">
            <v>8</v>
          </cell>
          <cell r="AU4">
            <v>6</v>
          </cell>
          <cell r="AV4">
            <v>15</v>
          </cell>
          <cell r="AW4">
            <v>2.85</v>
          </cell>
          <cell r="AX4">
            <v>22.8</v>
          </cell>
          <cell r="AY4">
            <v>0.93899999999999995</v>
          </cell>
          <cell r="AZ4">
            <v>1</v>
          </cell>
          <cell r="BA4" t="str">
            <v>N206281G</v>
          </cell>
          <cell r="BB4">
            <v>339</v>
          </cell>
          <cell r="BC4">
            <v>1</v>
          </cell>
          <cell r="BD4">
            <v>8</v>
          </cell>
          <cell r="BE4">
            <v>4</v>
          </cell>
          <cell r="BF4">
            <v>13</v>
          </cell>
          <cell r="BG4">
            <v>1.9750000000000001</v>
          </cell>
          <cell r="BH4">
            <v>15.8</v>
          </cell>
          <cell r="BI4">
            <v>0.497</v>
          </cell>
          <cell r="BJ4">
            <v>0</v>
          </cell>
          <cell r="BK4" t="str">
            <v>N203250G</v>
          </cell>
          <cell r="BL4">
            <v>99</v>
          </cell>
          <cell r="BM4">
            <v>1</v>
          </cell>
          <cell r="BN4">
            <v>3</v>
          </cell>
          <cell r="BO4">
            <v>6</v>
          </cell>
          <cell r="BP4">
            <v>10</v>
          </cell>
          <cell r="BQ4">
            <v>1.3375000000000001</v>
          </cell>
          <cell r="BR4">
            <v>10.700000000000001</v>
          </cell>
          <cell r="BS4">
            <v>0.32500000000000001</v>
          </cell>
          <cell r="BT4">
            <v>0</v>
          </cell>
          <cell r="BU4" t="str">
            <v/>
          </cell>
          <cell r="BV4" t="e">
            <v>#N/A</v>
          </cell>
          <cell r="BW4" t="e">
            <v>#N/A</v>
          </cell>
          <cell r="BX4" t="e">
            <v>#N/A</v>
          </cell>
          <cell r="BY4" t="e">
            <v>#N/A</v>
          </cell>
          <cell r="BZ4" t="e">
            <v>#N/A</v>
          </cell>
          <cell r="CA4" t="e">
            <v>#N/A</v>
          </cell>
          <cell r="CB4" t="e">
            <v>#N/A</v>
          </cell>
          <cell r="CC4" t="e">
            <v>#N/A</v>
          </cell>
          <cell r="CD4" t="e">
            <v>#N/A</v>
          </cell>
        </row>
        <row r="5">
          <cell r="B5" t="str">
            <v>Cua, Jennifer</v>
          </cell>
          <cell r="C5" t="str">
            <v>RJ035B0G</v>
          </cell>
          <cell r="D5">
            <v>587</v>
          </cell>
          <cell r="E5">
            <v>1</v>
          </cell>
          <cell r="F5">
            <v>19.5</v>
          </cell>
          <cell r="G5">
            <v>21</v>
          </cell>
          <cell r="H5">
            <v>41.5</v>
          </cell>
          <cell r="I5">
            <v>2.85</v>
          </cell>
          <cell r="J5">
            <v>22.8</v>
          </cell>
          <cell r="K5">
            <v>1.4</v>
          </cell>
          <cell r="L5">
            <v>1</v>
          </cell>
          <cell r="M5" t="str">
            <v>RJ035B1G</v>
          </cell>
          <cell r="N5">
            <v>588</v>
          </cell>
          <cell r="O5">
            <v>1</v>
          </cell>
          <cell r="P5">
            <v>10.5</v>
          </cell>
          <cell r="Q5">
            <v>5</v>
          </cell>
          <cell r="R5">
            <v>16.5</v>
          </cell>
          <cell r="S5">
            <v>1.9625000000000001</v>
          </cell>
          <cell r="T5">
            <v>15.700000000000001</v>
          </cell>
          <cell r="U5">
            <v>0.53900000000000003</v>
          </cell>
          <cell r="V5">
            <v>5</v>
          </cell>
          <cell r="W5" t="str">
            <v>RJ12110G</v>
          </cell>
          <cell r="X5">
            <v>709</v>
          </cell>
          <cell r="Y5">
            <v>1</v>
          </cell>
          <cell r="Z5">
            <v>10</v>
          </cell>
          <cell r="AA5">
            <v>4.5</v>
          </cell>
          <cell r="AB5">
            <v>15.5</v>
          </cell>
          <cell r="AC5">
            <v>1.95</v>
          </cell>
          <cell r="AD5">
            <v>15.6</v>
          </cell>
          <cell r="AE5">
            <v>0.20699999999999999</v>
          </cell>
          <cell r="AF5">
            <v>1</v>
          </cell>
          <cell r="AG5" t="str">
            <v>N206640G</v>
          </cell>
          <cell r="AH5">
            <v>355</v>
          </cell>
          <cell r="AI5">
            <v>1</v>
          </cell>
          <cell r="AJ5">
            <v>4</v>
          </cell>
          <cell r="AK5">
            <v>5</v>
          </cell>
          <cell r="AL5">
            <v>10</v>
          </cell>
          <cell r="AM5">
            <v>2.0125000000000002</v>
          </cell>
          <cell r="AN5">
            <v>16.100000000000001</v>
          </cell>
          <cell r="AO5">
            <v>0.38100000000000001</v>
          </cell>
          <cell r="AP5">
            <v>2</v>
          </cell>
          <cell r="AQ5" t="str">
            <v>N206641G</v>
          </cell>
          <cell r="AR5">
            <v>356</v>
          </cell>
          <cell r="AS5">
            <v>1</v>
          </cell>
          <cell r="AT5">
            <v>7</v>
          </cell>
          <cell r="AU5">
            <v>10</v>
          </cell>
          <cell r="AV5">
            <v>18</v>
          </cell>
          <cell r="AW5">
            <v>2.8375000000000004</v>
          </cell>
          <cell r="AX5">
            <v>22.700000000000003</v>
          </cell>
          <cell r="AY5">
            <v>0.47799999999999998</v>
          </cell>
          <cell r="AZ5">
            <v>3</v>
          </cell>
          <cell r="BA5" t="str">
            <v>N204060G</v>
          </cell>
          <cell r="BB5">
            <v>278</v>
          </cell>
          <cell r="BC5" t="str">
            <v/>
          </cell>
          <cell r="BD5" t="str">
            <v/>
          </cell>
          <cell r="BE5" t="str">
            <v/>
          </cell>
          <cell r="BF5" t="str">
            <v/>
          </cell>
          <cell r="BG5">
            <v>1.3125</v>
          </cell>
          <cell r="BH5">
            <v>10.5</v>
          </cell>
          <cell r="BI5" t="str">
            <v/>
          </cell>
          <cell r="BJ5">
            <v>1</v>
          </cell>
          <cell r="BK5" t="str">
            <v>N203XG0G</v>
          </cell>
          <cell r="BL5">
            <v>266</v>
          </cell>
          <cell r="BM5">
            <v>2</v>
          </cell>
          <cell r="BN5">
            <v>10</v>
          </cell>
          <cell r="BO5">
            <v>10</v>
          </cell>
          <cell r="BP5">
            <v>22</v>
          </cell>
          <cell r="BQ5">
            <v>2.85</v>
          </cell>
          <cell r="BR5">
            <v>22.8</v>
          </cell>
          <cell r="BS5">
            <v>0.71</v>
          </cell>
          <cell r="BT5">
            <v>3</v>
          </cell>
          <cell r="BU5" t="str">
            <v/>
          </cell>
          <cell r="BV5" t="str">
            <v>#NA</v>
          </cell>
          <cell r="BZ5" t="str">
            <v/>
          </cell>
          <cell r="CC5" t="e">
            <v>#VALUE!</v>
          </cell>
          <cell r="CD5" t="e">
            <v>#VALUE!</v>
          </cell>
        </row>
        <row r="6">
          <cell r="B6" t="str">
            <v>Nacino, Victor</v>
          </cell>
          <cell r="C6" t="str">
            <v>RJ038B0G</v>
          </cell>
          <cell r="D6">
            <v>607</v>
          </cell>
          <cell r="E6">
            <v>1</v>
          </cell>
          <cell r="F6">
            <v>9.5</v>
          </cell>
          <cell r="G6">
            <v>8.5</v>
          </cell>
          <cell r="H6">
            <v>19</v>
          </cell>
          <cell r="I6">
            <v>1.9375</v>
          </cell>
          <cell r="J6">
            <v>15.5</v>
          </cell>
          <cell r="K6">
            <v>0.14099999999999999</v>
          </cell>
          <cell r="L6">
            <v>1</v>
          </cell>
          <cell r="M6" t="str">
            <v>N207220G</v>
          </cell>
          <cell r="N6">
            <v>380</v>
          </cell>
          <cell r="O6">
            <v>1</v>
          </cell>
          <cell r="P6">
            <v>16.5</v>
          </cell>
          <cell r="Q6">
            <v>8</v>
          </cell>
          <cell r="R6">
            <v>25.5</v>
          </cell>
          <cell r="S6">
            <v>2.8375000000000004</v>
          </cell>
          <cell r="T6">
            <v>22.700000000000003</v>
          </cell>
          <cell r="U6">
            <v>2.9</v>
          </cell>
          <cell r="V6">
            <v>2</v>
          </cell>
          <cell r="W6" t="str">
            <v>N207221G</v>
          </cell>
          <cell r="X6">
            <v>381</v>
          </cell>
          <cell r="Y6">
            <v>1</v>
          </cell>
          <cell r="Z6">
            <v>14</v>
          </cell>
          <cell r="AA6">
            <v>7</v>
          </cell>
          <cell r="AB6">
            <v>22</v>
          </cell>
          <cell r="AC6">
            <v>2.125</v>
          </cell>
          <cell r="AD6">
            <v>17</v>
          </cell>
          <cell r="AE6">
            <v>1.6870000000000001</v>
          </cell>
          <cell r="AF6">
            <v>3</v>
          </cell>
          <cell r="AG6" t="str">
            <v>RJ03530G</v>
          </cell>
          <cell r="AH6">
            <v>582</v>
          </cell>
          <cell r="AI6">
            <v>1</v>
          </cell>
          <cell r="AJ6">
            <v>8</v>
          </cell>
          <cell r="AK6">
            <v>5</v>
          </cell>
          <cell r="AL6">
            <v>14</v>
          </cell>
          <cell r="AM6">
            <v>1.3125</v>
          </cell>
          <cell r="AN6">
            <v>10.5</v>
          </cell>
          <cell r="AO6">
            <v>0.17</v>
          </cell>
          <cell r="AP6">
            <v>4</v>
          </cell>
          <cell r="AQ6" t="str">
            <v>RJ12160G</v>
          </cell>
          <cell r="AR6">
            <v>713</v>
          </cell>
          <cell r="AS6">
            <v>1</v>
          </cell>
          <cell r="AT6">
            <v>6.5</v>
          </cell>
          <cell r="AU6">
            <v>4</v>
          </cell>
          <cell r="AV6">
            <v>11.5</v>
          </cell>
          <cell r="AW6">
            <v>1.325</v>
          </cell>
          <cell r="AX6">
            <v>10.6</v>
          </cell>
          <cell r="AY6">
            <v>0.27200000000000002</v>
          </cell>
          <cell r="AZ6">
            <v>2</v>
          </cell>
          <cell r="BA6" t="str">
            <v/>
          </cell>
          <cell r="BB6" t="e">
            <v>#N/A</v>
          </cell>
          <cell r="BC6" t="e">
            <v>#N/A</v>
          </cell>
          <cell r="BD6" t="e">
            <v>#N/A</v>
          </cell>
          <cell r="BE6" t="e">
            <v>#N/A</v>
          </cell>
          <cell r="BF6" t="e">
            <v>#N/A</v>
          </cell>
          <cell r="BG6" t="e">
            <v>#N/A</v>
          </cell>
          <cell r="BH6" t="e">
            <v>#N/A</v>
          </cell>
          <cell r="BI6" t="e">
            <v>#N/A</v>
          </cell>
          <cell r="BJ6" t="e">
            <v>#N/A</v>
          </cell>
          <cell r="BK6" t="str">
            <v>N202650G</v>
          </cell>
          <cell r="BL6">
            <v>33</v>
          </cell>
          <cell r="BM6">
            <v>1</v>
          </cell>
          <cell r="BN6">
            <v>10</v>
          </cell>
          <cell r="BO6">
            <v>12</v>
          </cell>
          <cell r="BP6">
            <v>23</v>
          </cell>
          <cell r="BQ6">
            <v>2.8875000000000002</v>
          </cell>
          <cell r="BR6">
            <v>23.1</v>
          </cell>
          <cell r="BS6">
            <v>2.1469999999999998</v>
          </cell>
          <cell r="BT6">
            <v>0</v>
          </cell>
          <cell r="BU6" t="str">
            <v/>
          </cell>
          <cell r="BV6" t="str">
            <v>#NA</v>
          </cell>
          <cell r="BZ6" t="str">
            <v/>
          </cell>
          <cell r="CC6" t="e">
            <v>#VALUE!</v>
          </cell>
          <cell r="CD6" t="e">
            <v>#VALUE!</v>
          </cell>
        </row>
        <row r="7">
          <cell r="B7" t="str">
            <v>Lopez, Jan-Louie</v>
          </cell>
          <cell r="C7" t="str">
            <v>RJ06010G</v>
          </cell>
          <cell r="D7">
            <v>657</v>
          </cell>
          <cell r="E7">
            <v>4</v>
          </cell>
          <cell r="F7">
            <v>21</v>
          </cell>
          <cell r="G7">
            <v>8.5</v>
          </cell>
          <cell r="H7">
            <v>33.5</v>
          </cell>
          <cell r="I7">
            <v>2.8250000000000002</v>
          </cell>
          <cell r="J7">
            <v>22.6</v>
          </cell>
          <cell r="K7">
            <v>0.61</v>
          </cell>
          <cell r="L7">
            <v>3</v>
          </cell>
          <cell r="M7" t="str">
            <v>RJ06011G</v>
          </cell>
          <cell r="N7">
            <v>658</v>
          </cell>
          <cell r="O7">
            <v>1</v>
          </cell>
          <cell r="P7">
            <v>6</v>
          </cell>
          <cell r="Q7">
            <v>4</v>
          </cell>
          <cell r="R7">
            <v>11</v>
          </cell>
          <cell r="S7">
            <v>1.3125</v>
          </cell>
          <cell r="T7">
            <v>10.5</v>
          </cell>
          <cell r="U7">
            <v>0.28599999999999998</v>
          </cell>
          <cell r="V7">
            <v>7</v>
          </cell>
          <cell r="W7" t="str">
            <v>N240260G</v>
          </cell>
          <cell r="X7">
            <v>451</v>
          </cell>
          <cell r="Y7">
            <v>1</v>
          </cell>
          <cell r="Z7">
            <v>19</v>
          </cell>
          <cell r="AA7">
            <v>21</v>
          </cell>
          <cell r="AB7">
            <v>41</v>
          </cell>
          <cell r="AC7">
            <v>2.85</v>
          </cell>
          <cell r="AD7">
            <v>22.8</v>
          </cell>
          <cell r="AE7">
            <v>4.5860000000000003</v>
          </cell>
          <cell r="AF7">
            <v>3</v>
          </cell>
          <cell r="AG7" t="str">
            <v>N240261G</v>
          </cell>
          <cell r="AH7">
            <v>452</v>
          </cell>
          <cell r="AI7">
            <v>1</v>
          </cell>
          <cell r="AJ7">
            <v>10</v>
          </cell>
          <cell r="AK7">
            <v>15</v>
          </cell>
          <cell r="AL7">
            <v>26</v>
          </cell>
          <cell r="AM7">
            <v>3.1624999999999996</v>
          </cell>
          <cell r="AN7">
            <v>25.299999999999997</v>
          </cell>
          <cell r="AO7">
            <v>7.4969999999999999</v>
          </cell>
          <cell r="AP7">
            <v>7</v>
          </cell>
          <cell r="AQ7" t="str">
            <v>RJ05160G</v>
          </cell>
          <cell r="AR7">
            <v>641</v>
          </cell>
          <cell r="AS7">
            <v>1</v>
          </cell>
          <cell r="AT7">
            <v>7</v>
          </cell>
          <cell r="AU7">
            <v>4.5</v>
          </cell>
          <cell r="AV7">
            <v>12.5</v>
          </cell>
          <cell r="AW7">
            <v>1.3125</v>
          </cell>
          <cell r="AX7">
            <v>10.5</v>
          </cell>
          <cell r="AY7">
            <v>0.158</v>
          </cell>
          <cell r="AZ7">
            <v>2</v>
          </cell>
          <cell r="BA7" t="str">
            <v/>
          </cell>
          <cell r="BB7" t="e">
            <v>#N/A</v>
          </cell>
          <cell r="BC7" t="e">
            <v>#N/A</v>
          </cell>
          <cell r="BD7" t="e">
            <v>#N/A</v>
          </cell>
          <cell r="BE7" t="e">
            <v>#N/A</v>
          </cell>
          <cell r="BF7" t="e">
            <v>#N/A</v>
          </cell>
          <cell r="BG7" t="e">
            <v>#N/A</v>
          </cell>
          <cell r="BH7" t="e">
            <v>#N/A</v>
          </cell>
          <cell r="BI7" t="e">
            <v>#N/A</v>
          </cell>
          <cell r="BJ7" t="e">
            <v>#N/A</v>
          </cell>
          <cell r="BK7" t="str">
            <v/>
          </cell>
          <cell r="BL7" t="e">
            <v>#N/A</v>
          </cell>
          <cell r="BM7" t="e">
            <v>#N/A</v>
          </cell>
          <cell r="BN7" t="e">
            <v>#N/A</v>
          </cell>
          <cell r="BO7" t="e">
            <v>#N/A</v>
          </cell>
          <cell r="BP7" t="e">
            <v>#N/A</v>
          </cell>
          <cell r="BQ7" t="e">
            <v>#N/A</v>
          </cell>
          <cell r="BR7" t="e">
            <v>#N/A</v>
          </cell>
          <cell r="BS7" t="e">
            <v>#N/A</v>
          </cell>
          <cell r="BT7" t="e">
            <v>#N/A</v>
          </cell>
          <cell r="BU7" t="str">
            <v/>
          </cell>
          <cell r="BV7" t="str">
            <v>#NA</v>
          </cell>
          <cell r="BZ7" t="str">
            <v/>
          </cell>
          <cell r="CC7" t="e">
            <v>#VALUE!</v>
          </cell>
          <cell r="CD7" t="e">
            <v>#VALUE!</v>
          </cell>
        </row>
        <row r="8">
          <cell r="B8" t="str">
            <v>Hernandez, Marlou</v>
          </cell>
          <cell r="C8" t="str">
            <v>RJ03Z91G</v>
          </cell>
          <cell r="D8">
            <v>629</v>
          </cell>
          <cell r="E8">
            <v>2</v>
          </cell>
          <cell r="F8">
            <v>14</v>
          </cell>
          <cell r="G8">
            <v>9.5</v>
          </cell>
          <cell r="H8">
            <v>25.5</v>
          </cell>
          <cell r="I8">
            <v>2.8375000000000004</v>
          </cell>
          <cell r="J8">
            <v>22.700000000000003</v>
          </cell>
          <cell r="K8">
            <v>0.374</v>
          </cell>
          <cell r="L8">
            <v>2</v>
          </cell>
          <cell r="M8" t="str">
            <v>RJ05150G</v>
          </cell>
          <cell r="N8">
            <v>640</v>
          </cell>
          <cell r="O8">
            <v>1</v>
          </cell>
          <cell r="P8">
            <v>13</v>
          </cell>
          <cell r="Q8">
            <v>7</v>
          </cell>
          <cell r="R8">
            <v>21</v>
          </cell>
          <cell r="S8">
            <v>1.3125</v>
          </cell>
          <cell r="T8">
            <v>10.5</v>
          </cell>
          <cell r="U8">
            <v>0.23400000000000001</v>
          </cell>
          <cell r="V8">
            <v>4</v>
          </cell>
          <cell r="W8" t="str">
            <v>N240210G</v>
          </cell>
          <cell r="X8">
            <v>446</v>
          </cell>
          <cell r="Y8">
            <v>1</v>
          </cell>
          <cell r="Z8">
            <v>19</v>
          </cell>
          <cell r="AA8">
            <v>6.5</v>
          </cell>
          <cell r="AB8">
            <v>26.5</v>
          </cell>
          <cell r="AC8">
            <v>2.85</v>
          </cell>
          <cell r="AD8">
            <v>22.8</v>
          </cell>
          <cell r="AE8">
            <v>2.7679999999999998</v>
          </cell>
          <cell r="AF8">
            <v>0</v>
          </cell>
          <cell r="AG8" t="str">
            <v>N240211G</v>
          </cell>
          <cell r="AH8">
            <v>447</v>
          </cell>
          <cell r="AI8">
            <v>1</v>
          </cell>
          <cell r="AJ8">
            <v>15</v>
          </cell>
          <cell r="AK8">
            <v>6.5</v>
          </cell>
          <cell r="AL8">
            <v>22.5</v>
          </cell>
          <cell r="AM8">
            <v>3.0249999999999999</v>
          </cell>
          <cell r="AN8">
            <v>24.2</v>
          </cell>
          <cell r="AO8">
            <v>4.08</v>
          </cell>
          <cell r="AP8">
            <v>5</v>
          </cell>
          <cell r="AQ8" t="str">
            <v>N204260G</v>
          </cell>
          <cell r="AR8">
            <v>290</v>
          </cell>
          <cell r="AS8">
            <v>2</v>
          </cell>
          <cell r="AT8">
            <v>10</v>
          </cell>
          <cell r="AU8">
            <v>10.5</v>
          </cell>
          <cell r="AV8">
            <v>22.5</v>
          </cell>
          <cell r="AW8">
            <v>2.85</v>
          </cell>
          <cell r="AX8">
            <v>22.8</v>
          </cell>
          <cell r="AY8">
            <v>0.374</v>
          </cell>
          <cell r="AZ8">
            <v>0</v>
          </cell>
          <cell r="BA8" t="str">
            <v>RJ40620G</v>
          </cell>
          <cell r="BB8">
            <v>718</v>
          </cell>
          <cell r="BC8">
            <v>1</v>
          </cell>
          <cell r="BD8">
            <v>11</v>
          </cell>
          <cell r="BE8">
            <v>5</v>
          </cell>
          <cell r="BF8">
            <v>17</v>
          </cell>
          <cell r="BG8">
            <v>1.9375</v>
          </cell>
          <cell r="BH8">
            <v>15.5</v>
          </cell>
          <cell r="BI8">
            <v>0.27900000000000003</v>
          </cell>
          <cell r="BJ8">
            <v>1</v>
          </cell>
          <cell r="BK8" t="str">
            <v/>
          </cell>
          <cell r="BL8" t="e">
            <v>#N/A</v>
          </cell>
          <cell r="BM8" t="e">
            <v>#N/A</v>
          </cell>
          <cell r="BN8" t="e">
            <v>#N/A</v>
          </cell>
          <cell r="BO8" t="e">
            <v>#N/A</v>
          </cell>
          <cell r="BP8" t="e">
            <v>#N/A</v>
          </cell>
          <cell r="BQ8" t="e">
            <v>#N/A</v>
          </cell>
          <cell r="BR8" t="e">
            <v>#N/A</v>
          </cell>
          <cell r="BS8" t="e">
            <v>#N/A</v>
          </cell>
          <cell r="BT8" t="e">
            <v>#N/A</v>
          </cell>
          <cell r="BU8" t="str">
            <v/>
          </cell>
          <cell r="BV8" t="e">
            <v>#N/A</v>
          </cell>
          <cell r="BW8" t="e">
            <v>#N/A</v>
          </cell>
          <cell r="BX8" t="e">
            <v>#N/A</v>
          </cell>
          <cell r="BY8" t="e">
            <v>#N/A</v>
          </cell>
          <cell r="BZ8" t="e">
            <v>#N/A</v>
          </cell>
          <cell r="CA8" t="e">
            <v>#N/A</v>
          </cell>
          <cell r="CB8" t="e">
            <v>#N/A</v>
          </cell>
          <cell r="CC8" t="e">
            <v>#N/A</v>
          </cell>
          <cell r="CD8" t="e">
            <v>#N/A</v>
          </cell>
        </row>
        <row r="9">
          <cell r="B9" t="str">
            <v>Tiongson, Tyron Ed</v>
          </cell>
          <cell r="C9" t="str">
            <v>RJ06G40G</v>
          </cell>
          <cell r="D9">
            <v>669</v>
          </cell>
          <cell r="E9">
            <v>2</v>
          </cell>
          <cell r="F9">
            <v>15.5</v>
          </cell>
          <cell r="G9">
            <v>12</v>
          </cell>
          <cell r="H9">
            <v>29.5</v>
          </cell>
          <cell r="I9">
            <v>2.8624999999999998</v>
          </cell>
          <cell r="J9">
            <v>22.9</v>
          </cell>
          <cell r="K9">
            <v>0.92900000000000005</v>
          </cell>
          <cell r="L9">
            <v>4</v>
          </cell>
          <cell r="M9" t="str">
            <v>RJ05200G</v>
          </cell>
          <cell r="N9">
            <v>642</v>
          </cell>
          <cell r="O9">
            <v>1</v>
          </cell>
          <cell r="P9">
            <v>10</v>
          </cell>
          <cell r="Q9">
            <v>5</v>
          </cell>
          <cell r="R9">
            <v>16</v>
          </cell>
          <cell r="S9">
            <v>1.3125</v>
          </cell>
          <cell r="T9">
            <v>10.5</v>
          </cell>
          <cell r="U9">
            <v>0.10199999999999999</v>
          </cell>
          <cell r="V9">
            <v>2</v>
          </cell>
          <cell r="W9" t="str">
            <v>N240310G</v>
          </cell>
          <cell r="X9">
            <v>457</v>
          </cell>
          <cell r="Y9">
            <v>1.5</v>
          </cell>
          <cell r="Z9">
            <v>19</v>
          </cell>
          <cell r="AA9">
            <v>22</v>
          </cell>
          <cell r="AB9">
            <v>42.5</v>
          </cell>
          <cell r="AC9">
            <v>2.85</v>
          </cell>
          <cell r="AD9">
            <v>22.8</v>
          </cell>
          <cell r="AE9">
            <v>2.7370000000000001</v>
          </cell>
          <cell r="AF9">
            <v>9</v>
          </cell>
          <cell r="AG9" t="str">
            <v>N240311G</v>
          </cell>
          <cell r="AH9">
            <v>458</v>
          </cell>
          <cell r="AI9">
            <v>1</v>
          </cell>
          <cell r="AJ9">
            <v>14.5</v>
          </cell>
          <cell r="AK9">
            <v>16</v>
          </cell>
          <cell r="AL9">
            <v>31.5</v>
          </cell>
          <cell r="AM9">
            <v>3.0374999999999996</v>
          </cell>
          <cell r="AN9">
            <v>24.299999999999997</v>
          </cell>
          <cell r="AO9">
            <v>4.3620000000000001</v>
          </cell>
          <cell r="AP9">
            <v>6</v>
          </cell>
          <cell r="AQ9" t="str">
            <v>N204400G</v>
          </cell>
          <cell r="AR9">
            <v>294</v>
          </cell>
          <cell r="AS9">
            <v>1</v>
          </cell>
          <cell r="AT9">
            <v>8</v>
          </cell>
          <cell r="AU9">
            <v>11</v>
          </cell>
          <cell r="AV9">
            <v>20</v>
          </cell>
          <cell r="AW9">
            <v>2.85</v>
          </cell>
          <cell r="AX9">
            <v>22.8</v>
          </cell>
          <cell r="AY9">
            <v>0.39400000000000002</v>
          </cell>
          <cell r="AZ9">
            <v>0</v>
          </cell>
          <cell r="BA9" t="str">
            <v/>
          </cell>
          <cell r="BB9" t="e">
            <v>#N/A</v>
          </cell>
          <cell r="BC9"/>
          <cell r="BD9"/>
          <cell r="BE9"/>
          <cell r="BF9" t="str">
            <v/>
          </cell>
          <cell r="BG9"/>
          <cell r="BH9"/>
          <cell r="BI9" t="e">
            <v>#N/A</v>
          </cell>
          <cell r="BJ9" t="e">
            <v>#N/A</v>
          </cell>
          <cell r="BK9" t="str">
            <v/>
          </cell>
          <cell r="BL9" t="e">
            <v>#N/A</v>
          </cell>
          <cell r="BM9" t="e">
            <v>#N/A</v>
          </cell>
          <cell r="BN9" t="e">
            <v>#N/A</v>
          </cell>
          <cell r="BO9" t="e">
            <v>#N/A</v>
          </cell>
          <cell r="BP9" t="e">
            <v>#N/A</v>
          </cell>
          <cell r="BQ9" t="e">
            <v>#N/A</v>
          </cell>
          <cell r="BR9" t="e">
            <v>#N/A</v>
          </cell>
          <cell r="BS9" t="e">
            <v>#N/A</v>
          </cell>
          <cell r="BT9" t="e">
            <v>#N/A</v>
          </cell>
          <cell r="BU9" t="str">
            <v/>
          </cell>
          <cell r="BV9" t="str">
            <v>#NA</v>
          </cell>
          <cell r="BZ9" t="str">
            <v/>
          </cell>
          <cell r="CC9" t="e">
            <v>#VALUE!</v>
          </cell>
          <cell r="CD9" t="e">
            <v>#VALUE!</v>
          </cell>
        </row>
        <row r="10">
          <cell r="B10" t="str">
            <v>Alcain, Ynfane Shairene</v>
          </cell>
          <cell r="C10" t="str">
            <v>RJ06ZA0G</v>
          </cell>
          <cell r="D10">
            <v>677</v>
          </cell>
          <cell r="E10">
            <v>2</v>
          </cell>
          <cell r="F10">
            <v>13.5</v>
          </cell>
          <cell r="G10">
            <v>5</v>
          </cell>
          <cell r="H10">
            <v>20.5</v>
          </cell>
          <cell r="I10">
            <v>1.3</v>
          </cell>
          <cell r="J10">
            <v>10.4</v>
          </cell>
          <cell r="K10">
            <v>0.124</v>
          </cell>
          <cell r="L10">
            <v>5</v>
          </cell>
          <cell r="M10" t="str">
            <v>N204840G</v>
          </cell>
          <cell r="N10">
            <v>307</v>
          </cell>
          <cell r="O10">
            <v>2</v>
          </cell>
          <cell r="P10">
            <v>11</v>
          </cell>
          <cell r="Q10">
            <v>8</v>
          </cell>
          <cell r="R10">
            <v>21</v>
          </cell>
          <cell r="S10">
            <v>2.85</v>
          </cell>
          <cell r="T10">
            <v>22.8</v>
          </cell>
          <cell r="U10">
            <v>0.94099999999999995</v>
          </cell>
          <cell r="V10">
            <v>2</v>
          </cell>
          <cell r="W10" t="str">
            <v>N204841G</v>
          </cell>
          <cell r="X10">
            <v>308</v>
          </cell>
          <cell r="Y10">
            <v>2</v>
          </cell>
          <cell r="Z10">
            <v>12</v>
          </cell>
          <cell r="AA10">
            <v>10</v>
          </cell>
          <cell r="AB10">
            <v>24</v>
          </cell>
          <cell r="AC10">
            <v>1.95</v>
          </cell>
          <cell r="AD10">
            <v>15.6</v>
          </cell>
          <cell r="AE10">
            <v>0.377</v>
          </cell>
          <cell r="AF10">
            <v>5</v>
          </cell>
          <cell r="AG10" t="str">
            <v>N240410G</v>
          </cell>
          <cell r="AH10">
            <v>468</v>
          </cell>
          <cell r="AI10">
            <v>2</v>
          </cell>
          <cell r="AJ10">
            <v>12</v>
          </cell>
          <cell r="AK10">
            <v>15</v>
          </cell>
          <cell r="AL10">
            <v>29</v>
          </cell>
          <cell r="AM10">
            <v>2.8375000000000004</v>
          </cell>
          <cell r="AN10">
            <v>22.700000000000003</v>
          </cell>
          <cell r="AO10">
            <v>2.3690000000000002</v>
          </cell>
          <cell r="AP10">
            <v>0</v>
          </cell>
          <cell r="AQ10" t="str">
            <v>N240411G</v>
          </cell>
          <cell r="AR10">
            <v>469</v>
          </cell>
          <cell r="AS10">
            <v>2</v>
          </cell>
          <cell r="AT10">
            <v>8</v>
          </cell>
          <cell r="AU10">
            <v>14</v>
          </cell>
          <cell r="AV10">
            <v>24</v>
          </cell>
          <cell r="AW10">
            <v>3.0249999999999999</v>
          </cell>
          <cell r="AX10">
            <v>24.2</v>
          </cell>
          <cell r="AY10">
            <v>4.3319999999999999</v>
          </cell>
          <cell r="AZ10">
            <v>4</v>
          </cell>
          <cell r="BA10" t="str">
            <v/>
          </cell>
          <cell r="BB10" t="e">
            <v>#N/A</v>
          </cell>
          <cell r="BC10"/>
          <cell r="BD10"/>
          <cell r="BE10"/>
          <cell r="BF10" t="str">
            <v/>
          </cell>
          <cell r="BG10"/>
          <cell r="BH10"/>
          <cell r="BI10" t="e">
            <v>#N/A</v>
          </cell>
          <cell r="BJ10" t="e">
            <v>#N/A</v>
          </cell>
          <cell r="BK10" t="str">
            <v>RJ03540G</v>
          </cell>
          <cell r="BL10">
            <v>583</v>
          </cell>
          <cell r="BM10">
            <v>2</v>
          </cell>
          <cell r="BN10">
            <v>17.5</v>
          </cell>
          <cell r="BO10">
            <v>4</v>
          </cell>
          <cell r="BP10">
            <v>23.5</v>
          </cell>
          <cell r="BQ10">
            <v>1.3</v>
          </cell>
          <cell r="BR10">
            <v>10.4</v>
          </cell>
          <cell r="BS10">
            <v>9.6000000000000002E-2</v>
          </cell>
          <cell r="BT10">
            <v>3</v>
          </cell>
          <cell r="BU10" t="str">
            <v/>
          </cell>
          <cell r="BV10" t="e">
            <v>#N/A</v>
          </cell>
          <cell r="BW10" t="e">
            <v>#N/A</v>
          </cell>
          <cell r="BX10" t="e">
            <v>#N/A</v>
          </cell>
          <cell r="BY10" t="e">
            <v>#N/A</v>
          </cell>
          <cell r="BZ10" t="e">
            <v>#N/A</v>
          </cell>
          <cell r="CA10" t="e">
            <v>#N/A</v>
          </cell>
          <cell r="CB10" t="e">
            <v>#N/A</v>
          </cell>
          <cell r="CC10" t="e">
            <v>#N/A</v>
          </cell>
          <cell r="CD10" t="e">
            <v>#N/A</v>
          </cell>
        </row>
        <row r="11">
          <cell r="B11" t="str">
            <v>Almocera, Alexander Hussein</v>
          </cell>
          <cell r="C11" t="str">
            <v>N204110G</v>
          </cell>
          <cell r="D11">
            <v>282</v>
          </cell>
          <cell r="E11">
            <v>1</v>
          </cell>
          <cell r="F11">
            <v>15</v>
          </cell>
          <cell r="G11">
            <v>13</v>
          </cell>
          <cell r="H11">
            <v>29</v>
          </cell>
          <cell r="I11">
            <v>2.8375000000000004</v>
          </cell>
          <cell r="J11">
            <v>22.700000000000003</v>
          </cell>
          <cell r="K11">
            <v>1.3859999999999999</v>
          </cell>
          <cell r="L11">
            <v>8</v>
          </cell>
          <cell r="M11" t="str">
            <v>N204111G</v>
          </cell>
          <cell r="N11">
            <v>283</v>
          </cell>
          <cell r="O11">
            <v>2</v>
          </cell>
          <cell r="P11">
            <v>44</v>
          </cell>
          <cell r="Q11">
            <v>13</v>
          </cell>
          <cell r="R11">
            <v>59</v>
          </cell>
          <cell r="S11">
            <v>7.875</v>
          </cell>
          <cell r="T11">
            <v>63</v>
          </cell>
          <cell r="U11">
            <v>2.2519999999999998</v>
          </cell>
          <cell r="V11">
            <v>6</v>
          </cell>
          <cell r="W11" t="str">
            <v>N204112G</v>
          </cell>
          <cell r="X11">
            <v>284</v>
          </cell>
          <cell r="Y11" t="str">
            <v/>
          </cell>
          <cell r="Z11" t="str">
            <v/>
          </cell>
          <cell r="AA11" t="str">
            <v/>
          </cell>
          <cell r="AB11" t="str">
            <v/>
          </cell>
          <cell r="AC11">
            <v>1.95</v>
          </cell>
          <cell r="AD11">
            <v>15.6</v>
          </cell>
          <cell r="AE11" t="str">
            <v/>
          </cell>
          <cell r="AF11" t="str">
            <v/>
          </cell>
          <cell r="AG11" t="str">
            <v>N204040G</v>
          </cell>
          <cell r="AH11">
            <v>276</v>
          </cell>
          <cell r="AI11">
            <v>1</v>
          </cell>
          <cell r="AJ11">
            <v>12</v>
          </cell>
          <cell r="AK11">
            <v>4</v>
          </cell>
          <cell r="AL11">
            <v>17</v>
          </cell>
          <cell r="AM11">
            <v>1.3125</v>
          </cell>
          <cell r="AN11">
            <v>10.5</v>
          </cell>
          <cell r="AO11">
            <v>0.10100000000000001</v>
          </cell>
          <cell r="AP11">
            <v>2</v>
          </cell>
          <cell r="AQ11" t="str">
            <v>N206550G</v>
          </cell>
          <cell r="AR11">
            <v>346</v>
          </cell>
          <cell r="AS11">
            <v>2</v>
          </cell>
          <cell r="AT11">
            <v>12</v>
          </cell>
          <cell r="AU11">
            <v>12.5</v>
          </cell>
          <cell r="AV11">
            <v>26.5</v>
          </cell>
          <cell r="AW11">
            <v>3.2250000000000001</v>
          </cell>
          <cell r="AX11">
            <v>25.8</v>
          </cell>
          <cell r="AY11">
            <v>1.0580000000000001</v>
          </cell>
          <cell r="AZ11">
            <v>0</v>
          </cell>
          <cell r="BA11" t="str">
            <v/>
          </cell>
          <cell r="BB11" t="e">
            <v>#N/A</v>
          </cell>
          <cell r="BC11" t="e">
            <v>#N/A</v>
          </cell>
          <cell r="BD11" t="e">
            <v>#N/A</v>
          </cell>
          <cell r="BE11" t="e">
            <v>#N/A</v>
          </cell>
          <cell r="BF11" t="e">
            <v>#N/A</v>
          </cell>
          <cell r="BG11" t="e">
            <v>#N/A</v>
          </cell>
          <cell r="BH11" t="e">
            <v>#N/A</v>
          </cell>
          <cell r="BI11" t="e">
            <v>#N/A</v>
          </cell>
          <cell r="BJ11" t="e">
            <v>#N/A</v>
          </cell>
          <cell r="BK11" t="str">
            <v/>
          </cell>
          <cell r="BL11" t="e">
            <v>#N/A</v>
          </cell>
          <cell r="BM11" t="e">
            <v>#N/A</v>
          </cell>
          <cell r="BN11" t="e">
            <v>#N/A</v>
          </cell>
          <cell r="BO11" t="e">
            <v>#N/A</v>
          </cell>
          <cell r="BP11" t="e">
            <v>#N/A</v>
          </cell>
          <cell r="BQ11" t="e">
            <v>#N/A</v>
          </cell>
          <cell r="BR11" t="e">
            <v>#N/A</v>
          </cell>
          <cell r="BS11" t="e">
            <v>#N/A</v>
          </cell>
          <cell r="BT11" t="e">
            <v>#N/A</v>
          </cell>
          <cell r="BU11" t="str">
            <v/>
          </cell>
          <cell r="BV11" t="e">
            <v>#N/A</v>
          </cell>
          <cell r="BW11" t="e">
            <v>#N/A</v>
          </cell>
          <cell r="BX11" t="e">
            <v>#N/A</v>
          </cell>
          <cell r="BY11" t="e">
            <v>#N/A</v>
          </cell>
          <cell r="BZ11" t="e">
            <v>#N/A</v>
          </cell>
          <cell r="CA11" t="e">
            <v>#N/A</v>
          </cell>
          <cell r="CB11" t="e">
            <v>#N/A</v>
          </cell>
          <cell r="CC11" t="e">
            <v>#N/A</v>
          </cell>
          <cell r="CD11" t="e">
            <v>#N/A</v>
          </cell>
        </row>
        <row r="12">
          <cell r="B12" t="str">
            <v>Amansec, Justine</v>
          </cell>
          <cell r="C12" t="str">
            <v>RJ03K20G</v>
          </cell>
          <cell r="D12">
            <v>621</v>
          </cell>
          <cell r="E12">
            <v>1</v>
          </cell>
          <cell r="F12">
            <v>19.5</v>
          </cell>
          <cell r="G12">
            <v>10</v>
          </cell>
          <cell r="H12">
            <v>30.5</v>
          </cell>
          <cell r="I12">
            <v>2.4625000000000004</v>
          </cell>
          <cell r="J12">
            <v>19.700000000000003</v>
          </cell>
          <cell r="K12">
            <v>0.33900000000000002</v>
          </cell>
          <cell r="L12">
            <v>1</v>
          </cell>
          <cell r="M12" t="str">
            <v>RJ40020G</v>
          </cell>
          <cell r="N12">
            <v>716</v>
          </cell>
          <cell r="O12">
            <v>1</v>
          </cell>
          <cell r="P12">
            <v>8</v>
          </cell>
          <cell r="Q12">
            <v>6</v>
          </cell>
          <cell r="R12">
            <v>15</v>
          </cell>
          <cell r="S12">
            <v>1.3125</v>
          </cell>
          <cell r="T12">
            <v>10.5</v>
          </cell>
          <cell r="U12">
            <v>0.26500000000000001</v>
          </cell>
          <cell r="V12">
            <v>1</v>
          </cell>
          <cell r="W12" t="str">
            <v>RJ03240G</v>
          </cell>
          <cell r="X12">
            <v>566</v>
          </cell>
          <cell r="Y12">
            <v>1</v>
          </cell>
          <cell r="Z12">
            <v>15.5</v>
          </cell>
          <cell r="AA12">
            <v>11.5</v>
          </cell>
          <cell r="AB12">
            <v>28</v>
          </cell>
          <cell r="AC12">
            <v>1.3</v>
          </cell>
          <cell r="AD12">
            <v>10.4</v>
          </cell>
          <cell r="AE12">
            <v>4.8000000000000001E-2</v>
          </cell>
          <cell r="AF12">
            <v>1</v>
          </cell>
          <cell r="AG12" t="str">
            <v>N205010G</v>
          </cell>
          <cell r="AH12">
            <v>311</v>
          </cell>
          <cell r="AI12">
            <v>1</v>
          </cell>
          <cell r="AJ12">
            <v>21.5</v>
          </cell>
          <cell r="AK12">
            <v>11.5</v>
          </cell>
          <cell r="AL12">
            <v>34</v>
          </cell>
          <cell r="AM12">
            <v>2.8625000000000003</v>
          </cell>
          <cell r="AN12">
            <v>22.900000000000002</v>
          </cell>
          <cell r="AO12">
            <v>0.57599999999999996</v>
          </cell>
          <cell r="AP12">
            <v>4</v>
          </cell>
          <cell r="AQ12" t="str">
            <v>N204160G</v>
          </cell>
          <cell r="AR12">
            <v>288</v>
          </cell>
          <cell r="AS12">
            <v>1</v>
          </cell>
          <cell r="AT12">
            <v>24.5</v>
          </cell>
          <cell r="AU12">
            <v>8</v>
          </cell>
          <cell r="AV12">
            <v>33.5</v>
          </cell>
          <cell r="AW12">
            <v>2.9250000000000003</v>
          </cell>
          <cell r="AX12">
            <v>23.400000000000002</v>
          </cell>
          <cell r="AY12">
            <v>1.073</v>
          </cell>
          <cell r="AZ12">
            <v>5</v>
          </cell>
          <cell r="BA12" t="str">
            <v>N240040G</v>
          </cell>
          <cell r="BB12">
            <v>435</v>
          </cell>
          <cell r="BC12">
            <v>1.5</v>
          </cell>
          <cell r="BD12">
            <v>13</v>
          </cell>
          <cell r="BE12">
            <v>13</v>
          </cell>
          <cell r="BF12">
            <v>27.5</v>
          </cell>
          <cell r="BG12">
            <v>2.85</v>
          </cell>
          <cell r="BH12">
            <v>22.8</v>
          </cell>
          <cell r="BI12">
            <v>0.88400000000000001</v>
          </cell>
          <cell r="BJ12">
            <v>2</v>
          </cell>
          <cell r="BK12" t="str">
            <v>N240041G</v>
          </cell>
          <cell r="BL12">
            <v>436</v>
          </cell>
          <cell r="BM12">
            <v>1</v>
          </cell>
          <cell r="BN12">
            <v>4.5</v>
          </cell>
          <cell r="BO12">
            <v>7</v>
          </cell>
          <cell r="BP12">
            <v>12.5</v>
          </cell>
          <cell r="BQ12">
            <v>1.9375</v>
          </cell>
          <cell r="BR12">
            <v>15.5</v>
          </cell>
          <cell r="BS12">
            <v>0.79700000000000004</v>
          </cell>
          <cell r="BT12">
            <v>2</v>
          </cell>
          <cell r="BU12" t="str">
            <v/>
          </cell>
          <cell r="BV12" t="e">
            <v>#N/A</v>
          </cell>
          <cell r="BW12" t="e">
            <v>#N/A</v>
          </cell>
          <cell r="BX12" t="e">
            <v>#N/A</v>
          </cell>
          <cell r="BY12" t="e">
            <v>#N/A</v>
          </cell>
          <cell r="BZ12" t="e">
            <v>#N/A</v>
          </cell>
          <cell r="CA12" t="e">
            <v>#N/A</v>
          </cell>
          <cell r="CB12" t="e">
            <v>#N/A</v>
          </cell>
          <cell r="CC12" t="e">
            <v>#N/A</v>
          </cell>
          <cell r="CD12" t="e">
            <v>#N/A</v>
          </cell>
        </row>
        <row r="13">
          <cell r="B13" t="str">
            <v>Balayan, Efraim</v>
          </cell>
          <cell r="C13" t="str">
            <v>RJ035A0G</v>
          </cell>
          <cell r="D13">
            <v>585</v>
          </cell>
          <cell r="E13">
            <v>4</v>
          </cell>
          <cell r="F13">
            <v>18</v>
          </cell>
          <cell r="G13">
            <v>20</v>
          </cell>
          <cell r="H13">
            <v>42</v>
          </cell>
          <cell r="I13">
            <v>2.85</v>
          </cell>
          <cell r="J13">
            <v>22.8</v>
          </cell>
          <cell r="K13">
            <v>1.0369999999999999</v>
          </cell>
          <cell r="L13">
            <v>7</v>
          </cell>
          <cell r="M13" t="str">
            <v>RJ035A1G</v>
          </cell>
          <cell r="N13">
            <v>586</v>
          </cell>
          <cell r="O13">
            <v>2</v>
          </cell>
          <cell r="P13">
            <v>11</v>
          </cell>
          <cell r="Q13">
            <v>12</v>
          </cell>
          <cell r="R13">
            <v>25</v>
          </cell>
          <cell r="S13">
            <v>1.9625000000000001</v>
          </cell>
          <cell r="T13">
            <v>15.700000000000001</v>
          </cell>
          <cell r="U13">
            <v>0.45900000000000002</v>
          </cell>
          <cell r="V13">
            <v>2</v>
          </cell>
          <cell r="W13" t="str">
            <v>RJ12100G</v>
          </cell>
          <cell r="X13">
            <v>708</v>
          </cell>
          <cell r="Y13">
            <v>2</v>
          </cell>
          <cell r="Z13">
            <v>13</v>
          </cell>
          <cell r="AA13">
            <v>6</v>
          </cell>
          <cell r="AB13">
            <v>21</v>
          </cell>
          <cell r="AC13">
            <v>1.7125000000000001</v>
          </cell>
          <cell r="AD13">
            <v>13.700000000000001</v>
          </cell>
          <cell r="AE13">
            <v>0.308</v>
          </cell>
          <cell r="AF13">
            <v>2</v>
          </cell>
          <cell r="AG13" t="str">
            <v>N206630G</v>
          </cell>
          <cell r="AH13">
            <v>353</v>
          </cell>
          <cell r="AI13">
            <v>1</v>
          </cell>
          <cell r="AJ13">
            <v>13</v>
          </cell>
          <cell r="AK13">
            <v>11</v>
          </cell>
          <cell r="AL13">
            <v>25</v>
          </cell>
          <cell r="AM13">
            <v>2.8375000000000004</v>
          </cell>
          <cell r="AN13">
            <v>22.700000000000003</v>
          </cell>
          <cell r="AO13">
            <v>0.63100000000000001</v>
          </cell>
          <cell r="AP13">
            <v>2</v>
          </cell>
          <cell r="AQ13" t="str">
            <v>N206631G</v>
          </cell>
          <cell r="AR13">
            <v>354</v>
          </cell>
          <cell r="AS13">
            <v>1</v>
          </cell>
          <cell r="AT13">
            <v>20</v>
          </cell>
          <cell r="AU13">
            <v>10</v>
          </cell>
          <cell r="AV13">
            <v>31</v>
          </cell>
          <cell r="AW13">
            <v>4.3375000000000004</v>
          </cell>
          <cell r="AX13">
            <v>34.700000000000003</v>
          </cell>
          <cell r="AY13">
            <v>0.80400000000000005</v>
          </cell>
          <cell r="AZ13">
            <v>0</v>
          </cell>
          <cell r="BA13" t="str">
            <v>N204050G</v>
          </cell>
          <cell r="BB13">
            <v>277</v>
          </cell>
          <cell r="BC13">
            <v>1</v>
          </cell>
          <cell r="BD13">
            <v>13</v>
          </cell>
          <cell r="BE13">
            <v>9</v>
          </cell>
          <cell r="BF13">
            <v>23</v>
          </cell>
          <cell r="BG13">
            <v>1.95</v>
          </cell>
          <cell r="BH13">
            <v>15.6</v>
          </cell>
          <cell r="BI13">
            <v>0.26800000000000002</v>
          </cell>
          <cell r="BJ13">
            <v>0</v>
          </cell>
          <cell r="BK13" t="str">
            <v/>
          </cell>
          <cell r="BL13" t="e">
            <v>#N/A</v>
          </cell>
          <cell r="BM13" t="e">
            <v>#N/A</v>
          </cell>
          <cell r="BN13" t="e">
            <v>#N/A</v>
          </cell>
          <cell r="BO13" t="e">
            <v>#N/A</v>
          </cell>
          <cell r="BP13" t="e">
            <v>#N/A</v>
          </cell>
          <cell r="BQ13" t="e">
            <v>#N/A</v>
          </cell>
          <cell r="BR13" t="e">
            <v>#N/A</v>
          </cell>
          <cell r="BS13" t="e">
            <v>#N/A</v>
          </cell>
          <cell r="BT13" t="e">
            <v>#N/A</v>
          </cell>
          <cell r="BU13" t="str">
            <v/>
          </cell>
          <cell r="BV13" t="e">
            <v>#N/A</v>
          </cell>
          <cell r="BW13" t="e">
            <v>#N/A</v>
          </cell>
          <cell r="BX13" t="e">
            <v>#N/A</v>
          </cell>
          <cell r="BY13" t="e">
            <v>#N/A</v>
          </cell>
          <cell r="BZ13" t="e">
            <v>#N/A</v>
          </cell>
          <cell r="CA13" t="e">
            <v>#N/A</v>
          </cell>
          <cell r="CB13" t="e">
            <v>#N/A</v>
          </cell>
          <cell r="CC13" t="e">
            <v>#N/A</v>
          </cell>
          <cell r="CD13" t="e">
            <v>#N/A</v>
          </cell>
        </row>
        <row r="14">
          <cell r="B14" t="str">
            <v>Biag, Hendrix</v>
          </cell>
          <cell r="C14" t="str">
            <v>RJ03881G</v>
          </cell>
          <cell r="D14">
            <v>605</v>
          </cell>
          <cell r="E14">
            <v>2</v>
          </cell>
          <cell r="F14">
            <v>15</v>
          </cell>
          <cell r="G14">
            <v>12.5</v>
          </cell>
          <cell r="H14">
            <v>29.5</v>
          </cell>
          <cell r="I14">
            <v>2.8624999999999998</v>
          </cell>
          <cell r="J14">
            <v>22.9</v>
          </cell>
          <cell r="K14">
            <v>1.2050000000000001</v>
          </cell>
          <cell r="L14">
            <v>9</v>
          </cell>
          <cell r="M14" t="str">
            <v>RJ12150G</v>
          </cell>
          <cell r="N14">
            <v>712</v>
          </cell>
          <cell r="O14">
            <v>2</v>
          </cell>
          <cell r="P14">
            <v>7.5</v>
          </cell>
          <cell r="Q14">
            <v>7</v>
          </cell>
          <cell r="R14">
            <v>16.5</v>
          </cell>
          <cell r="S14">
            <v>1.325</v>
          </cell>
          <cell r="T14">
            <v>10.6</v>
          </cell>
          <cell r="U14">
            <v>0.22</v>
          </cell>
          <cell r="V14">
            <v>2</v>
          </cell>
          <cell r="W14" t="str">
            <v>N207180G</v>
          </cell>
          <cell r="X14">
            <v>375</v>
          </cell>
          <cell r="Y14">
            <v>1</v>
          </cell>
          <cell r="Z14">
            <v>9</v>
          </cell>
          <cell r="AA14">
            <v>16</v>
          </cell>
          <cell r="AB14">
            <v>26</v>
          </cell>
          <cell r="AC14">
            <v>2.8375000000000004</v>
          </cell>
          <cell r="AD14">
            <v>22.700000000000003</v>
          </cell>
          <cell r="AE14">
            <v>3.03</v>
          </cell>
          <cell r="AF14">
            <v>4</v>
          </cell>
          <cell r="AG14" t="str">
            <v>N207181G</v>
          </cell>
          <cell r="AH14">
            <v>376</v>
          </cell>
          <cell r="AI14">
            <v>7</v>
          </cell>
          <cell r="AJ14">
            <v>2</v>
          </cell>
          <cell r="AK14">
            <v>12</v>
          </cell>
          <cell r="AL14">
            <v>21</v>
          </cell>
          <cell r="AM14">
            <v>2.125</v>
          </cell>
          <cell r="AN14">
            <v>17</v>
          </cell>
          <cell r="AO14">
            <v>1.6990000000000001</v>
          </cell>
          <cell r="AP14">
            <v>6</v>
          </cell>
          <cell r="AQ14" t="str">
            <v>N240610G</v>
          </cell>
          <cell r="AR14">
            <v>473</v>
          </cell>
          <cell r="AS14">
            <v>2</v>
          </cell>
          <cell r="AT14">
            <v>7.5</v>
          </cell>
          <cell r="AU14">
            <v>11.5</v>
          </cell>
          <cell r="AV14">
            <v>21</v>
          </cell>
          <cell r="AW14">
            <v>1.9375</v>
          </cell>
          <cell r="AX14">
            <v>15.5</v>
          </cell>
          <cell r="AY14">
            <v>0.34799999999999998</v>
          </cell>
          <cell r="AZ14">
            <v>2</v>
          </cell>
          <cell r="BA14" t="str">
            <v>N205620G</v>
          </cell>
          <cell r="BB14">
            <v>327</v>
          </cell>
          <cell r="BC14">
            <v>2</v>
          </cell>
          <cell r="BD14">
            <v>12</v>
          </cell>
          <cell r="BE14">
            <v>10</v>
          </cell>
          <cell r="BF14">
            <v>24</v>
          </cell>
          <cell r="BG14">
            <v>2.4250000000000003</v>
          </cell>
          <cell r="BH14">
            <v>19.400000000000002</v>
          </cell>
          <cell r="BI14">
            <v>0.20899999999999999</v>
          </cell>
          <cell r="BJ14">
            <v>1</v>
          </cell>
          <cell r="BK14" t="str">
            <v>N203E90G</v>
          </cell>
          <cell r="BL14">
            <v>183</v>
          </cell>
          <cell r="BM14">
            <v>2</v>
          </cell>
          <cell r="BN14">
            <v>7</v>
          </cell>
          <cell r="BO14">
            <v>8.5</v>
          </cell>
          <cell r="BP14">
            <v>17.5</v>
          </cell>
          <cell r="BQ14">
            <v>2.8625000000000003</v>
          </cell>
          <cell r="BR14">
            <v>22.900000000000002</v>
          </cell>
          <cell r="BS14">
            <v>1.17</v>
          </cell>
          <cell r="BT14">
            <v>5</v>
          </cell>
          <cell r="BU14" t="str">
            <v>N203Q70G</v>
          </cell>
          <cell r="BV14">
            <v>214</v>
          </cell>
          <cell r="BW14">
            <v>8.5</v>
          </cell>
          <cell r="BX14">
            <v>1</v>
          </cell>
          <cell r="BY14">
            <v>8</v>
          </cell>
          <cell r="BZ14">
            <v>17.5</v>
          </cell>
          <cell r="CA14">
            <v>2.5875000000000004</v>
          </cell>
          <cell r="CB14">
            <v>20.700000000000003</v>
          </cell>
          <cell r="CC14">
            <v>0.63800000000000001</v>
          </cell>
          <cell r="CD14">
            <v>5</v>
          </cell>
        </row>
        <row r="15">
          <cell r="B15" t="str">
            <v>Binalon, Jose Bonivir</v>
          </cell>
          <cell r="C15" t="str">
            <v>N204630G</v>
          </cell>
          <cell r="D15">
            <v>299</v>
          </cell>
          <cell r="E15">
            <v>1</v>
          </cell>
          <cell r="F15">
            <v>15</v>
          </cell>
          <cell r="G15">
            <v>10</v>
          </cell>
          <cell r="H15">
            <v>26</v>
          </cell>
          <cell r="I15">
            <v>2.8375000000000004</v>
          </cell>
          <cell r="J15">
            <v>22.700000000000003</v>
          </cell>
          <cell r="K15">
            <v>0.41699999999999998</v>
          </cell>
          <cell r="L15">
            <v>0</v>
          </cell>
          <cell r="M15" t="str">
            <v>N204631G</v>
          </cell>
          <cell r="N15">
            <v>300</v>
          </cell>
          <cell r="O15">
            <v>1</v>
          </cell>
          <cell r="P15">
            <v>17</v>
          </cell>
          <cell r="Q15">
            <v>12</v>
          </cell>
          <cell r="R15">
            <v>30</v>
          </cell>
          <cell r="S15">
            <v>1.9750000000000001</v>
          </cell>
          <cell r="T15">
            <v>15.8</v>
          </cell>
          <cell r="U15">
            <v>0.49199999999999999</v>
          </cell>
          <cell r="V15">
            <v>1</v>
          </cell>
          <cell r="W15" t="str">
            <v>N207360G</v>
          </cell>
          <cell r="X15">
            <v>388</v>
          </cell>
          <cell r="Y15">
            <v>1</v>
          </cell>
          <cell r="Z15">
            <v>18</v>
          </cell>
          <cell r="AA15">
            <v>13</v>
          </cell>
          <cell r="AB15">
            <v>32</v>
          </cell>
          <cell r="AC15">
            <v>2.85</v>
          </cell>
          <cell r="AD15">
            <v>22.8</v>
          </cell>
          <cell r="AE15">
            <v>1.171</v>
          </cell>
          <cell r="AF15">
            <v>2</v>
          </cell>
          <cell r="AG15" t="str">
            <v>N207361G</v>
          </cell>
          <cell r="AH15">
            <v>389</v>
          </cell>
          <cell r="AI15">
            <v>2</v>
          </cell>
          <cell r="AJ15">
            <v>14</v>
          </cell>
          <cell r="AK15">
            <v>13</v>
          </cell>
          <cell r="AL15">
            <v>29</v>
          </cell>
          <cell r="AM15">
            <v>2.0249999999999999</v>
          </cell>
          <cell r="AN15">
            <v>16.2</v>
          </cell>
          <cell r="AO15">
            <v>0.75700000000000001</v>
          </cell>
          <cell r="AP15">
            <v>3</v>
          </cell>
          <cell r="AQ15" t="str">
            <v>N204100G</v>
          </cell>
          <cell r="AR15">
            <v>281</v>
          </cell>
          <cell r="AS15">
            <v>1</v>
          </cell>
          <cell r="AT15">
            <v>14</v>
          </cell>
          <cell r="AU15">
            <v>14</v>
          </cell>
          <cell r="AV15">
            <v>29</v>
          </cell>
          <cell r="AW15">
            <v>2.85</v>
          </cell>
          <cell r="AX15">
            <v>22.8</v>
          </cell>
          <cell r="AY15">
            <v>0.498</v>
          </cell>
          <cell r="AZ15">
            <v>4</v>
          </cell>
          <cell r="BA15" t="str">
            <v>N204381G</v>
          </cell>
          <cell r="BB15">
            <v>291</v>
          </cell>
          <cell r="BC15">
            <v>1</v>
          </cell>
          <cell r="BD15">
            <v>19</v>
          </cell>
          <cell r="BE15">
            <v>13</v>
          </cell>
          <cell r="BF15">
            <v>33</v>
          </cell>
          <cell r="BG15">
            <v>2.8375000000000004</v>
          </cell>
          <cell r="BH15">
            <v>22.700000000000003</v>
          </cell>
          <cell r="BI15">
            <v>1.6879999999999999</v>
          </cell>
          <cell r="BJ15">
            <v>0</v>
          </cell>
          <cell r="BK15" t="str">
            <v/>
          </cell>
          <cell r="BL15" t="e">
            <v>#N/A</v>
          </cell>
          <cell r="BM15" t="e">
            <v>#N/A</v>
          </cell>
          <cell r="BN15" t="e">
            <v>#N/A</v>
          </cell>
          <cell r="BO15" t="e">
            <v>#N/A</v>
          </cell>
          <cell r="BP15" t="e">
            <v>#N/A</v>
          </cell>
          <cell r="BQ15" t="e">
            <v>#N/A</v>
          </cell>
          <cell r="BR15" t="e">
            <v>#N/A</v>
          </cell>
          <cell r="BS15" t="e">
            <v>#N/A</v>
          </cell>
          <cell r="BT15" t="e">
            <v>#N/A</v>
          </cell>
          <cell r="BU15" t="str">
            <v/>
          </cell>
          <cell r="BV15" t="e">
            <v>#N/A</v>
          </cell>
          <cell r="BW15" t="e">
            <v>#N/A</v>
          </cell>
          <cell r="BX15" t="e">
            <v>#N/A</v>
          </cell>
          <cell r="BY15" t="e">
            <v>#N/A</v>
          </cell>
          <cell r="BZ15" t="e">
            <v>#N/A</v>
          </cell>
          <cell r="CA15" t="e">
            <v>#N/A</v>
          </cell>
          <cell r="CB15" t="e">
            <v>#N/A</v>
          </cell>
          <cell r="CC15" t="e">
            <v>#N/A</v>
          </cell>
          <cell r="CD15" t="e">
            <v>#N/A</v>
          </cell>
        </row>
        <row r="16">
          <cell r="B16" t="str">
            <v>Carlos, Adelberth</v>
          </cell>
          <cell r="C16" t="str">
            <v>RJ03D30G</v>
          </cell>
          <cell r="D16">
            <v>618</v>
          </cell>
          <cell r="E16">
            <v>2</v>
          </cell>
          <cell r="F16">
            <v>15</v>
          </cell>
          <cell r="G16">
            <v>10</v>
          </cell>
          <cell r="H16">
            <v>27</v>
          </cell>
          <cell r="I16">
            <v>2.8250000000000002</v>
          </cell>
          <cell r="J16">
            <v>22.6</v>
          </cell>
          <cell r="K16">
            <v>0.42099999999999999</v>
          </cell>
          <cell r="L16">
            <v>0</v>
          </cell>
          <cell r="M16" t="str">
            <v>RJ03D31G</v>
          </cell>
          <cell r="N16">
            <v>619</v>
          </cell>
          <cell r="O16">
            <v>1.5</v>
          </cell>
          <cell r="P16">
            <v>10</v>
          </cell>
          <cell r="Q16">
            <v>7</v>
          </cell>
          <cell r="R16">
            <v>18.5</v>
          </cell>
          <cell r="S16">
            <v>2.0125000000000002</v>
          </cell>
          <cell r="T16">
            <v>16.100000000000001</v>
          </cell>
          <cell r="U16">
            <v>0.64300000000000002</v>
          </cell>
          <cell r="V16">
            <v>3</v>
          </cell>
          <cell r="W16" t="str">
            <v>N214010G</v>
          </cell>
          <cell r="X16">
            <v>427</v>
          </cell>
          <cell r="Y16">
            <v>1</v>
          </cell>
          <cell r="Z16">
            <v>7</v>
          </cell>
          <cell r="AA16">
            <v>5</v>
          </cell>
          <cell r="AB16">
            <v>13</v>
          </cell>
          <cell r="AC16">
            <v>1.3125</v>
          </cell>
          <cell r="AD16">
            <v>10.5</v>
          </cell>
          <cell r="AE16">
            <v>2.552</v>
          </cell>
          <cell r="AF16">
            <v>4</v>
          </cell>
          <cell r="AG16" t="str">
            <v>N207420G</v>
          </cell>
          <cell r="AH16">
            <v>390</v>
          </cell>
          <cell r="AI16">
            <v>1.5</v>
          </cell>
          <cell r="AJ16">
            <v>15</v>
          </cell>
          <cell r="AK16">
            <v>7</v>
          </cell>
          <cell r="AL16">
            <v>23.5</v>
          </cell>
          <cell r="AM16">
            <v>2.85</v>
          </cell>
          <cell r="AN16">
            <v>22.8</v>
          </cell>
          <cell r="AO16">
            <v>2.0670000000000002</v>
          </cell>
          <cell r="AP16">
            <v>3</v>
          </cell>
          <cell r="AQ16" t="str">
            <v>N207421G</v>
          </cell>
          <cell r="AR16">
            <v>391</v>
          </cell>
          <cell r="AS16">
            <v>2</v>
          </cell>
          <cell r="AT16">
            <v>20</v>
          </cell>
          <cell r="AU16">
            <v>8</v>
          </cell>
          <cell r="AV16">
            <v>30</v>
          </cell>
          <cell r="AW16">
            <v>6.65</v>
          </cell>
          <cell r="AX16">
            <v>53.2</v>
          </cell>
          <cell r="AY16">
            <v>1.718</v>
          </cell>
          <cell r="AZ16" t="str">
            <v/>
          </cell>
          <cell r="BA16" t="str">
            <v/>
          </cell>
          <cell r="BB16" t="e">
            <v>#N/A</v>
          </cell>
          <cell r="BC16" t="e">
            <v>#N/A</v>
          </cell>
          <cell r="BD16" t="e">
            <v>#N/A</v>
          </cell>
          <cell r="BE16" t="e">
            <v>#N/A</v>
          </cell>
          <cell r="BF16" t="e">
            <v>#N/A</v>
          </cell>
          <cell r="BG16" t="e">
            <v>#N/A</v>
          </cell>
          <cell r="BH16" t="e">
            <v>#N/A</v>
          </cell>
          <cell r="BI16" t="e">
            <v>#N/A</v>
          </cell>
          <cell r="BJ16" t="e">
            <v>#N/A</v>
          </cell>
          <cell r="BK16" t="str">
            <v/>
          </cell>
          <cell r="BL16" t="e">
            <v>#N/A</v>
          </cell>
          <cell r="BM16" t="e">
            <v>#N/A</v>
          </cell>
          <cell r="BN16" t="e">
            <v>#N/A</v>
          </cell>
          <cell r="BO16" t="e">
            <v>#N/A</v>
          </cell>
          <cell r="BP16" t="e">
            <v>#N/A</v>
          </cell>
          <cell r="BQ16" t="e">
            <v>#N/A</v>
          </cell>
          <cell r="BR16" t="e">
            <v>#N/A</v>
          </cell>
          <cell r="BS16" t="e">
            <v>#N/A</v>
          </cell>
          <cell r="BT16" t="e">
            <v>#N/A</v>
          </cell>
          <cell r="BU16" t="str">
            <v/>
          </cell>
          <cell r="BV16" t="e">
            <v>#N/A</v>
          </cell>
          <cell r="BW16" t="e">
            <v>#N/A</v>
          </cell>
          <cell r="BX16" t="e">
            <v>#N/A</v>
          </cell>
          <cell r="BY16" t="e">
            <v>#N/A</v>
          </cell>
          <cell r="BZ16" t="e">
            <v>#N/A</v>
          </cell>
          <cell r="CA16" t="e">
            <v>#N/A</v>
          </cell>
          <cell r="CB16" t="e">
            <v>#N/A</v>
          </cell>
          <cell r="CC16" t="e">
            <v>#N/A</v>
          </cell>
          <cell r="CD16" t="e">
            <v>#N/A</v>
          </cell>
        </row>
        <row r="17">
          <cell r="B17" t="str">
            <v>Dela Pena, Lester John</v>
          </cell>
          <cell r="C17" t="str">
            <v>RJ034A0G</v>
          </cell>
          <cell r="D17">
            <v>577</v>
          </cell>
          <cell r="E17">
            <v>3</v>
          </cell>
          <cell r="F17">
            <v>20</v>
          </cell>
          <cell r="G17">
            <v>11</v>
          </cell>
          <cell r="H17">
            <v>34</v>
          </cell>
          <cell r="I17">
            <v>2.85</v>
          </cell>
          <cell r="J17">
            <v>22.8</v>
          </cell>
          <cell r="K17">
            <v>0.97299999999999998</v>
          </cell>
          <cell r="L17">
            <v>5</v>
          </cell>
          <cell r="M17" t="str">
            <v>RJ034A1G</v>
          </cell>
          <cell r="N17">
            <v>705</v>
          </cell>
          <cell r="O17">
            <v>1</v>
          </cell>
          <cell r="P17">
            <v>18</v>
          </cell>
          <cell r="Q17">
            <v>4</v>
          </cell>
          <cell r="R17">
            <v>23</v>
          </cell>
          <cell r="S17">
            <v>1.9625000000000001</v>
          </cell>
          <cell r="T17">
            <v>15.700000000000001</v>
          </cell>
          <cell r="U17">
            <v>0.45500000000000002</v>
          </cell>
          <cell r="V17">
            <v>4</v>
          </cell>
          <cell r="W17" t="str">
            <v>RJ12080G</v>
          </cell>
          <cell r="X17">
            <v>706</v>
          </cell>
          <cell r="Y17">
            <v>3</v>
          </cell>
          <cell r="Z17">
            <v>28</v>
          </cell>
          <cell r="AA17">
            <v>11</v>
          </cell>
          <cell r="AB17">
            <v>42</v>
          </cell>
          <cell r="AC17">
            <v>1.3375000000000001</v>
          </cell>
          <cell r="AD17">
            <v>10.700000000000001</v>
          </cell>
          <cell r="AE17">
            <v>0.311</v>
          </cell>
          <cell r="AF17">
            <v>3</v>
          </cell>
          <cell r="AG17" t="str">
            <v>N206510G</v>
          </cell>
          <cell r="AH17">
            <v>342</v>
          </cell>
          <cell r="AI17">
            <v>1</v>
          </cell>
          <cell r="AJ17">
            <v>16</v>
          </cell>
          <cell r="AK17">
            <v>9</v>
          </cell>
          <cell r="AL17">
            <v>26</v>
          </cell>
          <cell r="AM17">
            <v>2.8625000000000003</v>
          </cell>
          <cell r="AN17">
            <v>22.900000000000002</v>
          </cell>
          <cell r="AO17">
            <v>1.1919999999999999</v>
          </cell>
          <cell r="AP17">
            <v>5</v>
          </cell>
          <cell r="AQ17" t="str">
            <v>N206511G</v>
          </cell>
          <cell r="AR17">
            <v>343</v>
          </cell>
          <cell r="AS17">
            <v>4</v>
          </cell>
          <cell r="AT17">
            <v>18</v>
          </cell>
          <cell r="AU17">
            <v>5</v>
          </cell>
          <cell r="AV17">
            <v>27</v>
          </cell>
          <cell r="AW17">
            <v>2.2624999999999997</v>
          </cell>
          <cell r="AX17">
            <v>18.099999999999998</v>
          </cell>
          <cell r="AY17">
            <v>1.6870000000000001</v>
          </cell>
          <cell r="AZ17">
            <v>11</v>
          </cell>
          <cell r="BA17" t="str">
            <v>N204020G</v>
          </cell>
          <cell r="BB17">
            <v>274</v>
          </cell>
          <cell r="BC17">
            <v>3</v>
          </cell>
          <cell r="BD17">
            <v>22</v>
          </cell>
          <cell r="BE17">
            <v>7.5</v>
          </cell>
          <cell r="BF17">
            <v>32.5</v>
          </cell>
          <cell r="BG17">
            <v>1.3125</v>
          </cell>
          <cell r="BH17">
            <v>10.5</v>
          </cell>
          <cell r="BI17">
            <v>0.125</v>
          </cell>
          <cell r="BJ17">
            <v>0</v>
          </cell>
          <cell r="BK17" t="str">
            <v>N205020G</v>
          </cell>
          <cell r="BL17">
            <v>312</v>
          </cell>
          <cell r="BM17">
            <v>1</v>
          </cell>
          <cell r="BN17" t="str">
            <v/>
          </cell>
          <cell r="BO17" t="str">
            <v/>
          </cell>
          <cell r="BP17">
            <v>1</v>
          </cell>
          <cell r="BQ17">
            <v>2.875</v>
          </cell>
          <cell r="BR17">
            <v>23</v>
          </cell>
          <cell r="BS17">
            <v>0.70299999999999996</v>
          </cell>
          <cell r="BT17">
            <v>3</v>
          </cell>
          <cell r="BU17" t="str">
            <v/>
          </cell>
          <cell r="BV17" t="e">
            <v>#N/A</v>
          </cell>
          <cell r="BW17" t="e">
            <v>#N/A</v>
          </cell>
          <cell r="BX17" t="e">
            <v>#N/A</v>
          </cell>
          <cell r="BY17" t="e">
            <v>#N/A</v>
          </cell>
          <cell r="BZ17" t="e">
            <v>#N/A</v>
          </cell>
          <cell r="CA17" t="e">
            <v>#N/A</v>
          </cell>
          <cell r="CB17" t="e">
            <v>#N/A</v>
          </cell>
          <cell r="CC17" t="e">
            <v>#N/A</v>
          </cell>
          <cell r="CD17" t="e">
            <v>#N/A</v>
          </cell>
        </row>
        <row r="18">
          <cell r="B18" t="str">
            <v>Dimacali, Michaela</v>
          </cell>
          <cell r="C18" t="str">
            <v>RJ06Z30G</v>
          </cell>
          <cell r="D18">
            <v>676</v>
          </cell>
          <cell r="E18">
            <v>1.5</v>
          </cell>
          <cell r="F18">
            <v>22</v>
          </cell>
          <cell r="G18">
            <v>12.5</v>
          </cell>
          <cell r="H18">
            <v>36</v>
          </cell>
          <cell r="I18">
            <v>2.875</v>
          </cell>
          <cell r="J18">
            <v>23</v>
          </cell>
          <cell r="K18">
            <v>0.86099999999999999</v>
          </cell>
          <cell r="L18">
            <v>6</v>
          </cell>
          <cell r="M18" t="str">
            <v>N240360G</v>
          </cell>
          <cell r="N18">
            <v>462</v>
          </cell>
          <cell r="O18">
            <v>2</v>
          </cell>
          <cell r="P18">
            <v>18</v>
          </cell>
          <cell r="Q18">
            <v>11</v>
          </cell>
          <cell r="R18">
            <v>31</v>
          </cell>
          <cell r="S18">
            <v>2.85</v>
          </cell>
          <cell r="T18">
            <v>22.8</v>
          </cell>
          <cell r="U18">
            <v>6.2679999999999998</v>
          </cell>
          <cell r="V18">
            <v>5</v>
          </cell>
          <cell r="W18" t="str">
            <v>N240361G</v>
          </cell>
          <cell r="X18">
            <v>463</v>
          </cell>
          <cell r="Y18">
            <v>1.5</v>
          </cell>
          <cell r="Z18">
            <v>16.5</v>
          </cell>
          <cell r="AA18">
            <v>9.5</v>
          </cell>
          <cell r="AB18">
            <v>27.5</v>
          </cell>
          <cell r="AC18">
            <v>3.1624999999999996</v>
          </cell>
          <cell r="AD18">
            <v>25.299999999999997</v>
          </cell>
          <cell r="AE18">
            <v>7.1239999999999997</v>
          </cell>
          <cell r="AF18">
            <v>1</v>
          </cell>
          <cell r="AG18" t="str">
            <v>RJ83210G</v>
          </cell>
          <cell r="AH18">
            <v>746</v>
          </cell>
          <cell r="AI18">
            <v>2</v>
          </cell>
          <cell r="AJ18">
            <v>11</v>
          </cell>
          <cell r="AK18">
            <v>6</v>
          </cell>
          <cell r="AL18">
            <v>19</v>
          </cell>
          <cell r="AM18">
            <v>1.925</v>
          </cell>
          <cell r="AN18">
            <v>15.4</v>
          </cell>
          <cell r="AO18">
            <v>0.13500000000000001</v>
          </cell>
          <cell r="AP18">
            <v>0</v>
          </cell>
          <cell r="AQ18" t="str">
            <v>N202N20G</v>
          </cell>
          <cell r="AR18">
            <v>57</v>
          </cell>
          <cell r="AS18">
            <v>2</v>
          </cell>
          <cell r="AT18">
            <v>7.5</v>
          </cell>
          <cell r="AU18">
            <v>6.5</v>
          </cell>
          <cell r="AV18">
            <v>16</v>
          </cell>
          <cell r="AW18">
            <v>2.8625000000000003</v>
          </cell>
          <cell r="AX18">
            <v>22.900000000000002</v>
          </cell>
          <cell r="AY18">
            <v>1.1879999999999999</v>
          </cell>
          <cell r="AZ18">
            <v>5</v>
          </cell>
          <cell r="BA18" t="str">
            <v>N204440G</v>
          </cell>
          <cell r="BB18">
            <v>295</v>
          </cell>
          <cell r="BC18">
            <v>1</v>
          </cell>
          <cell r="BD18">
            <v>7.5</v>
          </cell>
          <cell r="BE18">
            <v>5.5</v>
          </cell>
          <cell r="BF18">
            <v>14</v>
          </cell>
          <cell r="BG18">
            <v>1.95</v>
          </cell>
          <cell r="BH18">
            <v>15.6</v>
          </cell>
          <cell r="BI18">
            <v>0.30199999999999999</v>
          </cell>
          <cell r="BJ18">
            <v>1</v>
          </cell>
          <cell r="BK18" t="str">
            <v/>
          </cell>
          <cell r="BL18" t="e">
            <v>#N/A</v>
          </cell>
          <cell r="BM18" t="e">
            <v>#N/A</v>
          </cell>
          <cell r="BN18" t="e">
            <v>#N/A</v>
          </cell>
          <cell r="BO18" t="e">
            <v>#N/A</v>
          </cell>
          <cell r="BP18" t="e">
            <v>#N/A</v>
          </cell>
          <cell r="BQ18" t="e">
            <v>#N/A</v>
          </cell>
          <cell r="BR18" t="e">
            <v>#N/A</v>
          </cell>
          <cell r="BS18" t="e">
            <v>#N/A</v>
          </cell>
          <cell r="BT18" t="e">
            <v>#N/A</v>
          </cell>
          <cell r="BU18" t="str">
            <v/>
          </cell>
          <cell r="BV18" t="e">
            <v>#N/A</v>
          </cell>
          <cell r="BW18" t="e">
            <v>#N/A</v>
          </cell>
          <cell r="BX18" t="e">
            <v>#N/A</v>
          </cell>
          <cell r="BY18" t="e">
            <v>#N/A</v>
          </cell>
          <cell r="BZ18" t="e">
            <v>#N/A</v>
          </cell>
          <cell r="CA18" t="e">
            <v>#N/A</v>
          </cell>
          <cell r="CB18" t="e">
            <v>#N/A</v>
          </cell>
          <cell r="CC18" t="e">
            <v>#N/A</v>
          </cell>
          <cell r="CD18" t="e">
            <v>#N/A</v>
          </cell>
        </row>
        <row r="19">
          <cell r="B19" t="str">
            <v>Ando, Jonathan</v>
          </cell>
          <cell r="C19" t="str">
            <v>RJ03U30G</v>
          </cell>
          <cell r="D19">
            <v>624</v>
          </cell>
          <cell r="E19">
            <v>1</v>
          </cell>
          <cell r="F19">
            <v>17.5</v>
          </cell>
          <cell r="G19">
            <v>12</v>
          </cell>
          <cell r="H19">
            <v>30.5</v>
          </cell>
          <cell r="I19">
            <v>2.8875000000000002</v>
          </cell>
          <cell r="J19">
            <v>23.1</v>
          </cell>
          <cell r="K19">
            <v>0.68</v>
          </cell>
          <cell r="L19">
            <v>1</v>
          </cell>
          <cell r="M19" t="str">
            <v>RJ40610G</v>
          </cell>
          <cell r="N19" t="str">
            <v>#NA</v>
          </cell>
          <cell r="O19"/>
          <cell r="P19"/>
          <cell r="Q19"/>
          <cell r="R19" t="str">
            <v/>
          </cell>
          <cell r="U19" t="e">
            <v>#VALUE!</v>
          </cell>
          <cell r="V19" t="e">
            <v>#VALUE!</v>
          </cell>
          <cell r="W19" t="str">
            <v>RJ03250G</v>
          </cell>
          <cell r="X19">
            <v>567</v>
          </cell>
          <cell r="Y19">
            <v>1</v>
          </cell>
          <cell r="Z19">
            <v>8</v>
          </cell>
          <cell r="AA19">
            <v>6</v>
          </cell>
          <cell r="AB19">
            <v>15</v>
          </cell>
          <cell r="AC19">
            <v>1.3125</v>
          </cell>
          <cell r="AD19">
            <v>10.5</v>
          </cell>
          <cell r="AE19">
            <v>0.16</v>
          </cell>
          <cell r="AF19">
            <v>3</v>
          </cell>
          <cell r="AG19" t="str">
            <v>N204250G</v>
          </cell>
          <cell r="AH19">
            <v>289</v>
          </cell>
          <cell r="AI19">
            <v>1</v>
          </cell>
          <cell r="AJ19">
            <v>5</v>
          </cell>
          <cell r="AK19">
            <v>5</v>
          </cell>
          <cell r="AL19">
            <v>11</v>
          </cell>
          <cell r="AM19">
            <v>1.3</v>
          </cell>
          <cell r="AN19">
            <v>10.4</v>
          </cell>
          <cell r="AO19">
            <v>3.4000000000000002E-2</v>
          </cell>
          <cell r="AP19">
            <v>2</v>
          </cell>
          <cell r="AQ19" t="str">
            <v>N240110G</v>
          </cell>
          <cell r="AR19">
            <v>441</v>
          </cell>
          <cell r="AS19">
            <v>2</v>
          </cell>
          <cell r="AT19">
            <v>13</v>
          </cell>
          <cell r="AU19">
            <v>11</v>
          </cell>
          <cell r="AV19">
            <v>26</v>
          </cell>
          <cell r="AW19">
            <v>2.8375000000000004</v>
          </cell>
          <cell r="AX19">
            <v>22.700000000000003</v>
          </cell>
          <cell r="AY19">
            <v>1.2</v>
          </cell>
          <cell r="AZ19">
            <v>8</v>
          </cell>
          <cell r="BA19" t="str">
            <v>N240111G</v>
          </cell>
          <cell r="BB19">
            <v>442</v>
          </cell>
          <cell r="BC19">
            <v>2</v>
          </cell>
          <cell r="BD19">
            <v>12</v>
          </cell>
          <cell r="BE19">
            <v>16</v>
          </cell>
          <cell r="BF19">
            <v>30</v>
          </cell>
          <cell r="BG19">
            <v>2.1374999999999997</v>
          </cell>
          <cell r="BH19">
            <v>17.099999999999998</v>
          </cell>
          <cell r="BI19">
            <v>1.3340000000000001</v>
          </cell>
          <cell r="BJ19">
            <v>8</v>
          </cell>
          <cell r="BK19" t="str">
            <v>N203Y50G</v>
          </cell>
          <cell r="BL19">
            <v>268</v>
          </cell>
          <cell r="BM19">
            <v>2</v>
          </cell>
          <cell r="BN19">
            <v>16</v>
          </cell>
          <cell r="BO19">
            <v>18</v>
          </cell>
          <cell r="BP19">
            <v>36</v>
          </cell>
          <cell r="BQ19">
            <v>2.9375</v>
          </cell>
          <cell r="BR19">
            <v>23.5</v>
          </cell>
          <cell r="BS19">
            <v>2.8980000000000001</v>
          </cell>
          <cell r="BT19">
            <v>3</v>
          </cell>
          <cell r="BU19" t="str">
            <v/>
          </cell>
          <cell r="BV19" t="str">
            <v>#NA</v>
          </cell>
          <cell r="BW19" t="e">
            <v>#VALUE!</v>
          </cell>
          <cell r="BX19" t="e">
            <v>#VALUE!</v>
          </cell>
          <cell r="BY19" t="e">
            <v>#VALUE!</v>
          </cell>
          <cell r="BZ19" t="e">
            <v>#VALUE!</v>
          </cell>
          <cell r="CC19" t="e">
            <v>#VALUE!</v>
          </cell>
          <cell r="CD19" t="e">
            <v>#VALUE!</v>
          </cell>
        </row>
        <row r="20">
          <cell r="B20" t="str">
            <v>Natuel, Ron Aldrian</v>
          </cell>
          <cell r="C20" t="str">
            <v>RJ036B0G</v>
          </cell>
          <cell r="D20">
            <v>594</v>
          </cell>
          <cell r="E20">
            <v>1</v>
          </cell>
          <cell r="F20">
            <v>23</v>
          </cell>
          <cell r="G20">
            <v>12</v>
          </cell>
          <cell r="H20">
            <v>36</v>
          </cell>
          <cell r="I20">
            <v>2.85</v>
          </cell>
          <cell r="J20">
            <v>22.8</v>
          </cell>
          <cell r="K20">
            <v>1.3939999999999999</v>
          </cell>
          <cell r="L20">
            <v>6</v>
          </cell>
          <cell r="M20" t="str">
            <v>RJ036B1G</v>
          </cell>
          <cell r="N20">
            <v>595</v>
          </cell>
          <cell r="O20">
            <v>1</v>
          </cell>
          <cell r="P20">
            <v>17.5</v>
          </cell>
          <cell r="Q20">
            <v>10</v>
          </cell>
          <cell r="R20">
            <v>28.5</v>
          </cell>
          <cell r="S20">
            <v>1.9625000000000001</v>
          </cell>
          <cell r="T20">
            <v>15.700000000000001</v>
          </cell>
          <cell r="U20">
            <v>0.57499999999999996</v>
          </cell>
          <cell r="V20">
            <v>5</v>
          </cell>
          <cell r="W20" t="str">
            <v>RJ12130G</v>
          </cell>
          <cell r="X20">
            <v>710</v>
          </cell>
          <cell r="Y20">
            <v>1</v>
          </cell>
          <cell r="Z20">
            <v>12</v>
          </cell>
          <cell r="AA20">
            <v>4</v>
          </cell>
          <cell r="AB20">
            <v>17</v>
          </cell>
          <cell r="AC20">
            <v>1.325</v>
          </cell>
          <cell r="AD20">
            <v>10.6</v>
          </cell>
          <cell r="AE20">
            <v>0.251</v>
          </cell>
          <cell r="AF20">
            <v>2</v>
          </cell>
          <cell r="AG20" t="str">
            <v>N207020G</v>
          </cell>
          <cell r="AH20">
            <v>365</v>
          </cell>
          <cell r="AI20">
            <v>2</v>
          </cell>
          <cell r="AJ20">
            <v>20.5</v>
          </cell>
          <cell r="AK20">
            <v>9.8000000000000007</v>
          </cell>
          <cell r="AL20">
            <v>32.299999999999997</v>
          </cell>
          <cell r="AM20">
            <v>2.85</v>
          </cell>
          <cell r="AN20">
            <v>22.8</v>
          </cell>
          <cell r="AO20">
            <v>1.1180000000000001</v>
          </cell>
          <cell r="AP20">
            <v>4</v>
          </cell>
          <cell r="AQ20" t="str">
            <v>N207021G</v>
          </cell>
          <cell r="AR20">
            <v>366</v>
          </cell>
          <cell r="AS20">
            <v>2</v>
          </cell>
          <cell r="AT20">
            <v>12</v>
          </cell>
          <cell r="AU20">
            <v>8.75</v>
          </cell>
          <cell r="AV20">
            <v>22.75</v>
          </cell>
          <cell r="AW20">
            <v>2</v>
          </cell>
          <cell r="AX20">
            <v>16</v>
          </cell>
          <cell r="AY20">
            <v>0.65600000000000003</v>
          </cell>
          <cell r="AZ20">
            <v>6</v>
          </cell>
          <cell r="BA20" t="str">
            <v/>
          </cell>
          <cell r="BB20" t="e">
            <v>#N/A</v>
          </cell>
          <cell r="BC20"/>
          <cell r="BD20"/>
          <cell r="BE20"/>
          <cell r="BF20" t="str">
            <v/>
          </cell>
          <cell r="BG20"/>
          <cell r="BH20"/>
          <cell r="BI20" t="e">
            <v>#N/A</v>
          </cell>
          <cell r="BJ20" t="e">
            <v>#N/A</v>
          </cell>
          <cell r="BK20" t="str">
            <v>N203A60G</v>
          </cell>
          <cell r="BL20">
            <v>151</v>
          </cell>
          <cell r="BM20">
            <v>2</v>
          </cell>
          <cell r="BN20">
            <v>9</v>
          </cell>
          <cell r="BO20">
            <v>5</v>
          </cell>
          <cell r="BP20">
            <v>16</v>
          </cell>
          <cell r="BQ20">
            <v>1.3</v>
          </cell>
          <cell r="BR20">
            <v>10.4</v>
          </cell>
          <cell r="BS20">
            <v>0.113</v>
          </cell>
          <cell r="BT20">
            <v>0</v>
          </cell>
          <cell r="BU20" t="str">
            <v>RJ03500G</v>
          </cell>
          <cell r="BV20">
            <v>580</v>
          </cell>
          <cell r="BW20">
            <v>1</v>
          </cell>
          <cell r="BX20">
            <v>7</v>
          </cell>
          <cell r="BY20">
            <v>2</v>
          </cell>
          <cell r="BZ20">
            <v>10</v>
          </cell>
          <cell r="CA20">
            <v>1.3125</v>
          </cell>
          <cell r="CB20">
            <v>10.5</v>
          </cell>
          <cell r="CC20">
            <v>0.14199999999999999</v>
          </cell>
          <cell r="CD20">
            <v>1</v>
          </cell>
        </row>
        <row r="21">
          <cell r="B21" t="str">
            <v>Olimpos, Janet</v>
          </cell>
          <cell r="C21" t="str">
            <v>RJ036A0G</v>
          </cell>
          <cell r="D21">
            <v>592</v>
          </cell>
          <cell r="E21">
            <v>2</v>
          </cell>
          <cell r="F21">
            <v>24.5</v>
          </cell>
          <cell r="G21">
            <v>11.5</v>
          </cell>
          <cell r="H21">
            <v>38</v>
          </cell>
          <cell r="I21">
            <v>2.85</v>
          </cell>
          <cell r="J21">
            <v>22.8</v>
          </cell>
          <cell r="K21">
            <v>0.97299999999999998</v>
          </cell>
          <cell r="L21">
            <v>6</v>
          </cell>
          <cell r="M21" t="str">
            <v>RJ036A1G</v>
          </cell>
          <cell r="N21">
            <v>593</v>
          </cell>
          <cell r="O21">
            <v>1</v>
          </cell>
          <cell r="P21">
            <v>11.5</v>
          </cell>
          <cell r="Q21">
            <v>7</v>
          </cell>
          <cell r="R21">
            <v>19.5</v>
          </cell>
          <cell r="S21">
            <v>1.9625000000000001</v>
          </cell>
          <cell r="T21">
            <v>15.700000000000001</v>
          </cell>
          <cell r="U21">
            <v>0.45700000000000002</v>
          </cell>
          <cell r="V21">
            <v>6</v>
          </cell>
          <cell r="W21" t="str">
            <v>N206710G</v>
          </cell>
          <cell r="X21">
            <v>360</v>
          </cell>
          <cell r="Y21">
            <v>1</v>
          </cell>
          <cell r="Z21">
            <v>12.5</v>
          </cell>
          <cell r="AA21">
            <v>9</v>
          </cell>
          <cell r="AB21">
            <v>22.5</v>
          </cell>
          <cell r="AC21">
            <v>2.85</v>
          </cell>
          <cell r="AD21">
            <v>22.8</v>
          </cell>
          <cell r="AE21">
            <v>1.07</v>
          </cell>
          <cell r="AF21">
            <v>3</v>
          </cell>
          <cell r="AG21" t="str">
            <v>N206711G</v>
          </cell>
          <cell r="AH21">
            <v>361</v>
          </cell>
          <cell r="AI21">
            <v>1</v>
          </cell>
          <cell r="AJ21">
            <v>10</v>
          </cell>
          <cell r="AK21">
            <v>6</v>
          </cell>
          <cell r="AL21">
            <v>17</v>
          </cell>
          <cell r="AM21">
            <v>1.9625000000000001</v>
          </cell>
          <cell r="AN21">
            <v>15.700000000000001</v>
          </cell>
          <cell r="AO21">
            <v>0.56399999999999995</v>
          </cell>
          <cell r="AP21">
            <v>3</v>
          </cell>
          <cell r="AQ21" t="str">
            <v>N204080G</v>
          </cell>
          <cell r="AR21">
            <v>279</v>
          </cell>
          <cell r="AS21">
            <v>1.5</v>
          </cell>
          <cell r="AT21">
            <v>14</v>
          </cell>
          <cell r="AU21">
            <v>7</v>
          </cell>
          <cell r="AV21">
            <v>22.5</v>
          </cell>
          <cell r="AW21">
            <v>2.8375000000000004</v>
          </cell>
          <cell r="AX21">
            <v>22.700000000000003</v>
          </cell>
          <cell r="AY21">
            <v>0.38200000000000001</v>
          </cell>
          <cell r="AZ21">
            <v>0</v>
          </cell>
          <cell r="BA21" t="str">
            <v>N204081G</v>
          </cell>
          <cell r="BB21">
            <v>280</v>
          </cell>
          <cell r="BC21">
            <v>1</v>
          </cell>
          <cell r="BD21">
            <v>10</v>
          </cell>
          <cell r="BE21">
            <v>4.5</v>
          </cell>
          <cell r="BF21">
            <v>15.5</v>
          </cell>
          <cell r="BG21">
            <v>1.9375</v>
          </cell>
          <cell r="BH21">
            <v>15.5</v>
          </cell>
          <cell r="BI21">
            <v>0.57099999999999995</v>
          </cell>
          <cell r="BJ21">
            <v>1</v>
          </cell>
          <cell r="BK21" t="str">
            <v/>
          </cell>
          <cell r="BL21" t="e">
            <v>#N/A</v>
          </cell>
          <cell r="BM21" t="e">
            <v>#N/A</v>
          </cell>
          <cell r="BN21" t="e">
            <v>#N/A</v>
          </cell>
          <cell r="BO21" t="e">
            <v>#N/A</v>
          </cell>
          <cell r="BP21" t="e">
            <v>#N/A</v>
          </cell>
          <cell r="BQ21" t="e">
            <v>#N/A</v>
          </cell>
          <cell r="BR21" t="e">
            <v>#N/A</v>
          </cell>
          <cell r="BS21" t="e">
            <v>#N/A</v>
          </cell>
          <cell r="BT21" t="e">
            <v>#N/A</v>
          </cell>
          <cell r="BU21">
            <v>0</v>
          </cell>
          <cell r="BV21" t="str">
            <v>#NA</v>
          </cell>
          <cell r="BW21" t="e">
            <v>#VALUE!</v>
          </cell>
          <cell r="BX21" t="e">
            <v>#VALUE!</v>
          </cell>
          <cell r="BY21" t="e">
            <v>#VALUE!</v>
          </cell>
          <cell r="BZ21" t="e">
            <v>#VALUE!</v>
          </cell>
          <cell r="CC21" t="e">
            <v>#VALUE!</v>
          </cell>
          <cell r="CD21" t="e">
            <v>#VALUE!</v>
          </cell>
        </row>
        <row r="22">
          <cell r="B22" t="str">
            <v>Absin, John Ershon</v>
          </cell>
          <cell r="C22" t="str">
            <v>RJ04110G</v>
          </cell>
          <cell r="D22">
            <v>631</v>
          </cell>
          <cell r="E22">
            <v>2</v>
          </cell>
          <cell r="F22">
            <v>22</v>
          </cell>
          <cell r="G22">
            <v>9</v>
          </cell>
          <cell r="H22">
            <v>33</v>
          </cell>
          <cell r="I22">
            <v>1.925</v>
          </cell>
          <cell r="J22">
            <v>15.4</v>
          </cell>
          <cell r="K22">
            <v>0.111</v>
          </cell>
          <cell r="L22">
            <v>2</v>
          </cell>
          <cell r="M22" t="str">
            <v>RJ07Z30G</v>
          </cell>
          <cell r="N22">
            <v>690</v>
          </cell>
          <cell r="O22">
            <v>1</v>
          </cell>
          <cell r="P22">
            <v>19.5</v>
          </cell>
          <cell r="Q22">
            <v>9.5</v>
          </cell>
          <cell r="R22">
            <v>30</v>
          </cell>
          <cell r="S22">
            <v>1.3125</v>
          </cell>
          <cell r="T22">
            <v>10.5</v>
          </cell>
          <cell r="U22">
            <v>0.12</v>
          </cell>
          <cell r="V22">
            <v>2</v>
          </cell>
          <cell r="W22" t="str">
            <v>N203D40G</v>
          </cell>
          <cell r="X22">
            <v>172</v>
          </cell>
          <cell r="Y22">
            <v>1</v>
          </cell>
          <cell r="Z22">
            <v>27</v>
          </cell>
          <cell r="AA22">
            <v>17</v>
          </cell>
          <cell r="AB22">
            <v>45</v>
          </cell>
          <cell r="AC22">
            <v>2.8625000000000003</v>
          </cell>
          <cell r="AD22">
            <v>22.900000000000002</v>
          </cell>
          <cell r="AE22">
            <v>0.72599999999999998</v>
          </cell>
          <cell r="AF22">
            <v>0</v>
          </cell>
          <cell r="AG22" t="str">
            <v>N203D41G</v>
          </cell>
          <cell r="AH22">
            <v>173</v>
          </cell>
          <cell r="AI22">
            <v>2</v>
          </cell>
          <cell r="AJ22">
            <v>21</v>
          </cell>
          <cell r="AK22">
            <v>17</v>
          </cell>
          <cell r="AL22">
            <v>40</v>
          </cell>
          <cell r="AM22">
            <v>4.3125</v>
          </cell>
          <cell r="AN22">
            <v>34.5</v>
          </cell>
          <cell r="AO22">
            <v>2.7519999999999998</v>
          </cell>
          <cell r="AP22">
            <v>1</v>
          </cell>
          <cell r="AQ22" t="str">
            <v>RJ03210G</v>
          </cell>
          <cell r="AR22">
            <v>564</v>
          </cell>
          <cell r="AS22" t="str">
            <v/>
          </cell>
          <cell r="AT22" t="str">
            <v/>
          </cell>
          <cell r="AU22" t="str">
            <v/>
          </cell>
          <cell r="AV22" t="str">
            <v/>
          </cell>
          <cell r="AW22">
            <v>1.325</v>
          </cell>
          <cell r="AX22">
            <v>10.6</v>
          </cell>
          <cell r="AY22" t="str">
            <v/>
          </cell>
          <cell r="AZ22">
            <v>1</v>
          </cell>
          <cell r="BA22" t="str">
            <v>RJ03220G</v>
          </cell>
          <cell r="BB22">
            <v>565</v>
          </cell>
          <cell r="BC22" t="str">
            <v/>
          </cell>
          <cell r="BD22" t="str">
            <v/>
          </cell>
          <cell r="BE22" t="str">
            <v/>
          </cell>
          <cell r="BF22" t="str">
            <v/>
          </cell>
          <cell r="BG22">
            <v>1.3125</v>
          </cell>
          <cell r="BH22">
            <v>10.5</v>
          </cell>
          <cell r="BI22" t="str">
            <v/>
          </cell>
          <cell r="BJ22">
            <v>1</v>
          </cell>
          <cell r="BK22" t="str">
            <v/>
          </cell>
          <cell r="BL22" t="str">
            <v>#NA</v>
          </cell>
          <cell r="BP22" t="str">
            <v/>
          </cell>
          <cell r="BS22" t="e">
            <v>#VALUE!</v>
          </cell>
          <cell r="BT22" t="e">
            <v>#VALUE!</v>
          </cell>
          <cell r="BU22">
            <v>0</v>
          </cell>
          <cell r="BV22" t="str">
            <v>#NA</v>
          </cell>
          <cell r="BZ22" t="str">
            <v/>
          </cell>
          <cell r="CC22" t="e">
            <v>#VALUE!</v>
          </cell>
          <cell r="CD22" t="e">
            <v>#VALUE!</v>
          </cell>
        </row>
        <row r="23">
          <cell r="B23" t="str">
            <v>Fabella, Emma</v>
          </cell>
          <cell r="C23" t="str">
            <v>RJ12020G</v>
          </cell>
          <cell r="D23">
            <v>698</v>
          </cell>
          <cell r="E23">
            <v>1</v>
          </cell>
          <cell r="F23">
            <v>19</v>
          </cell>
          <cell r="G23">
            <v>24</v>
          </cell>
          <cell r="H23">
            <v>44</v>
          </cell>
          <cell r="I23">
            <v>2.85</v>
          </cell>
          <cell r="J23">
            <v>22.8</v>
          </cell>
          <cell r="K23">
            <v>4.2149999999999999</v>
          </cell>
          <cell r="L23" t="str">
            <v/>
          </cell>
          <cell r="M23" t="str">
            <v>RJ12021G</v>
          </cell>
          <cell r="N23">
            <v>699</v>
          </cell>
          <cell r="O23">
            <v>1</v>
          </cell>
          <cell r="P23">
            <v>24</v>
          </cell>
          <cell r="Q23" t="str">
            <v/>
          </cell>
          <cell r="R23">
            <v>25</v>
          </cell>
          <cell r="S23">
            <v>11.350000000000001</v>
          </cell>
          <cell r="T23">
            <v>90.800000000000011</v>
          </cell>
          <cell r="U23" t="str">
            <v/>
          </cell>
          <cell r="V23" t="str">
            <v/>
          </cell>
          <cell r="W23" t="str">
            <v>N203G40G</v>
          </cell>
          <cell r="X23">
            <v>185</v>
          </cell>
          <cell r="Y23" t="str">
            <v/>
          </cell>
          <cell r="Z23" t="str">
            <v/>
          </cell>
          <cell r="AA23" t="str">
            <v/>
          </cell>
          <cell r="AB23" t="str">
            <v/>
          </cell>
          <cell r="AC23">
            <v>2.8625000000000003</v>
          </cell>
          <cell r="AD23">
            <v>22.900000000000002</v>
          </cell>
          <cell r="AE23" t="str">
            <v/>
          </cell>
          <cell r="AF23">
            <v>0</v>
          </cell>
          <cell r="AG23" t="str">
            <v>N205680G</v>
          </cell>
          <cell r="AH23">
            <v>329</v>
          </cell>
          <cell r="AI23" t="str">
            <v/>
          </cell>
          <cell r="AJ23" t="str">
            <v/>
          </cell>
          <cell r="AK23" t="str">
            <v/>
          </cell>
          <cell r="AL23" t="str">
            <v/>
          </cell>
          <cell r="AM23">
            <v>2.8000000000000003</v>
          </cell>
          <cell r="AN23">
            <v>22.400000000000002</v>
          </cell>
          <cell r="AO23" t="str">
            <v/>
          </cell>
          <cell r="AP23">
            <v>0</v>
          </cell>
          <cell r="AQ23" t="str">
            <v>RJ03380G</v>
          </cell>
          <cell r="AR23">
            <v>570</v>
          </cell>
          <cell r="AS23" t="str">
            <v/>
          </cell>
          <cell r="AT23" t="str">
            <v/>
          </cell>
          <cell r="AU23" t="str">
            <v/>
          </cell>
          <cell r="AV23" t="str">
            <v/>
          </cell>
          <cell r="AW23">
            <v>2.4250000000000003</v>
          </cell>
          <cell r="AX23">
            <v>19.400000000000002</v>
          </cell>
          <cell r="AY23" t="str">
            <v/>
          </cell>
          <cell r="AZ23">
            <v>0</v>
          </cell>
          <cell r="BA23" t="str">
            <v>RJ04140G</v>
          </cell>
          <cell r="BB23">
            <v>635</v>
          </cell>
          <cell r="BC23" t="str">
            <v/>
          </cell>
          <cell r="BD23" t="str">
            <v/>
          </cell>
          <cell r="BE23" t="str">
            <v/>
          </cell>
          <cell r="BF23" t="str">
            <v/>
          </cell>
          <cell r="BG23">
            <v>1.9375</v>
          </cell>
          <cell r="BH23">
            <v>15.5</v>
          </cell>
          <cell r="BI23" t="str">
            <v/>
          </cell>
          <cell r="BJ23">
            <v>2</v>
          </cell>
          <cell r="BK23" t="str">
            <v/>
          </cell>
          <cell r="BL23" t="str">
            <v>#NA</v>
          </cell>
          <cell r="BP23" t="str">
            <v/>
          </cell>
          <cell r="BS23" t="e">
            <v>#VALUE!</v>
          </cell>
          <cell r="BT23" t="e">
            <v>#VALUE!</v>
          </cell>
          <cell r="BU23">
            <v>0</v>
          </cell>
          <cell r="BV23" t="str">
            <v>#NA</v>
          </cell>
          <cell r="BZ23" t="str">
            <v/>
          </cell>
          <cell r="CC23" t="e">
            <v>#VALUE!</v>
          </cell>
          <cell r="CD23" t="e">
            <v>#VALUE!</v>
          </cell>
        </row>
        <row r="24">
          <cell r="B24" t="str">
            <v>Mejia, Jeffrey</v>
          </cell>
          <cell r="C24" t="str">
            <v>RJ05100G</v>
          </cell>
          <cell r="D24">
            <v>636</v>
          </cell>
          <cell r="E24">
            <v>1</v>
          </cell>
          <cell r="F24">
            <v>8</v>
          </cell>
          <cell r="G24">
            <v>7</v>
          </cell>
          <cell r="H24">
            <v>16</v>
          </cell>
          <cell r="I24">
            <v>1.3</v>
          </cell>
          <cell r="J24">
            <v>10.4</v>
          </cell>
          <cell r="K24">
            <v>6.8000000000000005E-2</v>
          </cell>
          <cell r="L24">
            <v>2</v>
          </cell>
          <cell r="M24" t="str">
            <v>RJ12030G</v>
          </cell>
          <cell r="N24">
            <v>700</v>
          </cell>
          <cell r="O24">
            <v>1</v>
          </cell>
          <cell r="P24">
            <v>8.5</v>
          </cell>
          <cell r="Q24">
            <v>7</v>
          </cell>
          <cell r="R24">
            <v>16.5</v>
          </cell>
          <cell r="S24">
            <v>1.325</v>
          </cell>
          <cell r="T24">
            <v>10.6</v>
          </cell>
          <cell r="U24">
            <v>4.1000000000000002E-2</v>
          </cell>
          <cell r="V24">
            <v>3</v>
          </cell>
          <cell r="W24" t="str">
            <v>N203I20G</v>
          </cell>
          <cell r="X24">
            <v>189</v>
          </cell>
          <cell r="Y24">
            <v>1</v>
          </cell>
          <cell r="Z24">
            <v>16</v>
          </cell>
          <cell r="AA24">
            <v>15</v>
          </cell>
          <cell r="AB24">
            <v>32</v>
          </cell>
          <cell r="AC24">
            <v>2.85</v>
          </cell>
          <cell r="AD24">
            <v>22.8</v>
          </cell>
          <cell r="AE24">
            <v>1.012</v>
          </cell>
          <cell r="AF24">
            <v>1</v>
          </cell>
          <cell r="AG24" t="str">
            <v>N205690G</v>
          </cell>
          <cell r="AH24">
            <v>330</v>
          </cell>
          <cell r="AI24">
            <v>1</v>
          </cell>
          <cell r="AJ24">
            <v>14.5</v>
          </cell>
          <cell r="AK24">
            <v>12</v>
          </cell>
          <cell r="AL24">
            <v>27.5</v>
          </cell>
          <cell r="AM24">
            <v>2.4250000000000003</v>
          </cell>
          <cell r="AN24">
            <v>19.400000000000002</v>
          </cell>
          <cell r="AO24">
            <v>0.503</v>
          </cell>
          <cell r="AP24">
            <v>1</v>
          </cell>
          <cell r="AQ24" t="str">
            <v>RJ033A0G</v>
          </cell>
          <cell r="AR24">
            <v>571</v>
          </cell>
          <cell r="AS24">
            <v>1</v>
          </cell>
          <cell r="AT24">
            <v>7.5</v>
          </cell>
          <cell r="AU24">
            <v>8</v>
          </cell>
          <cell r="AV24">
            <v>16.5</v>
          </cell>
          <cell r="AW24">
            <v>1.325</v>
          </cell>
          <cell r="AX24">
            <v>10.6</v>
          </cell>
          <cell r="AY24">
            <v>0.11799999999999999</v>
          </cell>
          <cell r="AZ24">
            <v>0</v>
          </cell>
          <cell r="BA24" t="str">
            <v>RJ03400G</v>
          </cell>
          <cell r="BB24">
            <v>572</v>
          </cell>
          <cell r="BC24">
            <v>0.5</v>
          </cell>
          <cell r="BD24">
            <v>6</v>
          </cell>
          <cell r="BE24">
            <v>6</v>
          </cell>
          <cell r="BF24">
            <v>12.5</v>
          </cell>
          <cell r="BG24">
            <v>1.3125</v>
          </cell>
          <cell r="BH24">
            <v>10.5</v>
          </cell>
          <cell r="BI24">
            <v>0.248</v>
          </cell>
          <cell r="BJ24">
            <v>5</v>
          </cell>
          <cell r="BK24" t="str">
            <v/>
          </cell>
          <cell r="BL24" t="str">
            <v>#NA</v>
          </cell>
          <cell r="BP24" t="str">
            <v/>
          </cell>
          <cell r="BS24" t="e">
            <v>#VALUE!</v>
          </cell>
          <cell r="BT24" t="e">
            <v>#VALUE!</v>
          </cell>
          <cell r="BU24">
            <v>0</v>
          </cell>
          <cell r="BV24" t="str">
            <v>#NA</v>
          </cell>
          <cell r="BZ24" t="str">
            <v/>
          </cell>
          <cell r="CC24" t="e">
            <v>#VALUE!</v>
          </cell>
          <cell r="CD24" t="e">
            <v>#VALUE!</v>
          </cell>
        </row>
        <row r="25">
          <cell r="B25" t="str">
            <v>Fernandez, James Patrick</v>
          </cell>
          <cell r="C25" t="str">
            <v>RJ12010G</v>
          </cell>
          <cell r="D25">
            <v>697</v>
          </cell>
          <cell r="E25">
            <v>1</v>
          </cell>
          <cell r="F25">
            <v>14</v>
          </cell>
          <cell r="G25">
            <v>20</v>
          </cell>
          <cell r="H25">
            <v>35</v>
          </cell>
          <cell r="I25">
            <v>2.85</v>
          </cell>
          <cell r="J25">
            <v>22.8</v>
          </cell>
          <cell r="K25">
            <v>0.61799999999999999</v>
          </cell>
          <cell r="L25">
            <v>8</v>
          </cell>
          <cell r="M25" t="str">
            <v>N203R10G</v>
          </cell>
          <cell r="N25">
            <v>216</v>
          </cell>
          <cell r="O25">
            <v>1</v>
          </cell>
          <cell r="P25">
            <v>34</v>
          </cell>
          <cell r="Q25">
            <v>12</v>
          </cell>
          <cell r="R25">
            <v>47</v>
          </cell>
          <cell r="S25">
            <v>2.8375000000000004</v>
          </cell>
          <cell r="T25">
            <v>22.700000000000003</v>
          </cell>
          <cell r="U25">
            <v>5.5739999999999998</v>
          </cell>
          <cell r="V25">
            <v>0</v>
          </cell>
          <cell r="W25" t="str">
            <v>N203R11G</v>
          </cell>
          <cell r="X25">
            <v>217</v>
          </cell>
          <cell r="Y25">
            <v>1</v>
          </cell>
          <cell r="Z25">
            <v>17</v>
          </cell>
          <cell r="AA25">
            <v>9</v>
          </cell>
          <cell r="AB25">
            <v>27</v>
          </cell>
          <cell r="AC25">
            <v>2.4124999999999996</v>
          </cell>
          <cell r="AD25">
            <v>19.299999999999997</v>
          </cell>
          <cell r="AE25">
            <v>3.5649999999999999</v>
          </cell>
          <cell r="AF25">
            <v>3</v>
          </cell>
          <cell r="AG25" t="str">
            <v>N204130G</v>
          </cell>
          <cell r="AH25">
            <v>285</v>
          </cell>
          <cell r="AI25">
            <v>1</v>
          </cell>
          <cell r="AJ25">
            <v>10</v>
          </cell>
          <cell r="AK25">
            <v>10</v>
          </cell>
          <cell r="AL25">
            <v>21</v>
          </cell>
          <cell r="AM25">
            <v>2.8375000000000004</v>
          </cell>
          <cell r="AN25">
            <v>22.700000000000003</v>
          </cell>
          <cell r="AO25">
            <v>0.504</v>
          </cell>
          <cell r="AP25">
            <v>1</v>
          </cell>
          <cell r="AQ25" t="str">
            <v>N204131G</v>
          </cell>
          <cell r="AR25">
            <v>286</v>
          </cell>
          <cell r="AS25">
            <v>1</v>
          </cell>
          <cell r="AT25">
            <v>14.5</v>
          </cell>
          <cell r="AU25">
            <v>11</v>
          </cell>
          <cell r="AV25">
            <v>26.5</v>
          </cell>
          <cell r="AW25">
            <v>2.2999999999999998</v>
          </cell>
          <cell r="AX25">
            <v>18.399999999999999</v>
          </cell>
          <cell r="AY25">
            <v>3.484</v>
          </cell>
          <cell r="AZ25">
            <v>1</v>
          </cell>
          <cell r="BA25" t="str">
            <v>RJ038A0G</v>
          </cell>
          <cell r="BB25">
            <v>606</v>
          </cell>
          <cell r="BC25" t="str">
            <v/>
          </cell>
          <cell r="BD25" t="str">
            <v/>
          </cell>
          <cell r="BE25" t="str">
            <v/>
          </cell>
          <cell r="BF25" t="str">
            <v/>
          </cell>
          <cell r="BG25">
            <v>1.3125</v>
          </cell>
          <cell r="BH25">
            <v>10.5</v>
          </cell>
          <cell r="BI25" t="str">
            <v/>
          </cell>
          <cell r="BJ25">
            <v>0</v>
          </cell>
          <cell r="BK25">
            <v>0</v>
          </cell>
          <cell r="BL25" t="str">
            <v>#NA</v>
          </cell>
          <cell r="BP25" t="str">
            <v/>
          </cell>
          <cell r="BS25" t="e">
            <v>#VALUE!</v>
          </cell>
          <cell r="BT25" t="e">
            <v>#VALUE!</v>
          </cell>
          <cell r="BU25" t="str">
            <v>N203450G</v>
          </cell>
          <cell r="BV25" t="str">
            <v>#NA</v>
          </cell>
          <cell r="BZ25" t="str">
            <v/>
          </cell>
          <cell r="CC25" t="e">
            <v>#VALUE!</v>
          </cell>
          <cell r="CD25" t="e">
            <v>#VALUE!</v>
          </cell>
        </row>
        <row r="26">
          <cell r="B26" t="str">
            <v>Diesta, Jonald</v>
          </cell>
          <cell r="C26" t="str">
            <v>RJ40K40G</v>
          </cell>
          <cell r="D26">
            <v>724</v>
          </cell>
          <cell r="E26">
            <v>2</v>
          </cell>
          <cell r="F26">
            <v>18.5</v>
          </cell>
          <cell r="G26">
            <v>18.5</v>
          </cell>
          <cell r="H26">
            <v>39</v>
          </cell>
          <cell r="I26">
            <v>3.8000000000000003</v>
          </cell>
          <cell r="J26">
            <v>30.400000000000002</v>
          </cell>
          <cell r="K26">
            <v>1.1910000000000001</v>
          </cell>
          <cell r="L26">
            <v>8</v>
          </cell>
          <cell r="M26" t="str">
            <v>KU05630G</v>
          </cell>
          <cell r="N26" t="e">
            <v>#N/A</v>
          </cell>
          <cell r="O26" t="e">
            <v>#N/A</v>
          </cell>
          <cell r="P26" t="e">
            <v>#N/A</v>
          </cell>
          <cell r="Q26" t="e">
            <v>#N/A</v>
          </cell>
          <cell r="R26" t="e">
            <v>#N/A</v>
          </cell>
          <cell r="S26" t="e">
            <v>#N/A</v>
          </cell>
          <cell r="T26" t="e">
            <v>#N/A</v>
          </cell>
          <cell r="U26" t="e">
            <v>#N/A</v>
          </cell>
          <cell r="V26" t="e">
            <v>#N/A</v>
          </cell>
          <cell r="W26" t="str">
            <v>RJ05630G</v>
          </cell>
          <cell r="X26">
            <v>652</v>
          </cell>
          <cell r="Y26">
            <v>0.5</v>
          </cell>
          <cell r="Z26">
            <v>8</v>
          </cell>
          <cell r="AA26">
            <v>8</v>
          </cell>
          <cell r="AB26">
            <v>16.5</v>
          </cell>
          <cell r="AC26">
            <v>1.925</v>
          </cell>
          <cell r="AD26">
            <v>15.4</v>
          </cell>
          <cell r="AE26">
            <v>0.15</v>
          </cell>
          <cell r="AF26">
            <v>3</v>
          </cell>
          <cell r="AG26" t="str">
            <v>RJ07Z10G</v>
          </cell>
          <cell r="AH26">
            <v>688</v>
          </cell>
          <cell r="AI26">
            <v>0.5</v>
          </cell>
          <cell r="AJ26">
            <v>4.5</v>
          </cell>
          <cell r="AK26">
            <v>4.5</v>
          </cell>
          <cell r="AL26">
            <v>9.5</v>
          </cell>
          <cell r="AM26">
            <v>1.3125</v>
          </cell>
          <cell r="AN26">
            <v>10.5</v>
          </cell>
          <cell r="AO26">
            <v>0.112</v>
          </cell>
          <cell r="AP26">
            <v>1</v>
          </cell>
          <cell r="AQ26" t="str">
            <v>RJ04120G</v>
          </cell>
          <cell r="AR26">
            <v>632</v>
          </cell>
          <cell r="AS26">
            <v>0.5</v>
          </cell>
          <cell r="AT26">
            <v>4</v>
          </cell>
          <cell r="AU26">
            <v>2.5</v>
          </cell>
          <cell r="AV26">
            <v>7</v>
          </cell>
          <cell r="AW26">
            <v>1.3</v>
          </cell>
          <cell r="AX26">
            <v>10.4</v>
          </cell>
          <cell r="AY26">
            <v>6.8000000000000005E-2</v>
          </cell>
          <cell r="AZ26">
            <v>1</v>
          </cell>
          <cell r="BA26" t="str">
            <v>N202G60G</v>
          </cell>
          <cell r="BB26">
            <v>51</v>
          </cell>
          <cell r="BC26">
            <v>0.5</v>
          </cell>
          <cell r="BD26">
            <v>9</v>
          </cell>
          <cell r="BE26">
            <v>9</v>
          </cell>
          <cell r="BF26">
            <v>18.5</v>
          </cell>
          <cell r="BG26">
            <v>2.8625000000000003</v>
          </cell>
          <cell r="BH26">
            <v>22.900000000000002</v>
          </cell>
          <cell r="BI26">
            <v>1.004</v>
          </cell>
          <cell r="BJ26">
            <v>0</v>
          </cell>
          <cell r="BK26" t="str">
            <v>RJ03C90G</v>
          </cell>
          <cell r="BL26">
            <v>615</v>
          </cell>
          <cell r="BP26" t="str">
            <v/>
          </cell>
          <cell r="BQ26">
            <v>1.9375</v>
          </cell>
          <cell r="BR26">
            <v>15.5</v>
          </cell>
          <cell r="BS26" t="str">
            <v/>
          </cell>
          <cell r="BT26">
            <v>0</v>
          </cell>
          <cell r="BU26">
            <v>0</v>
          </cell>
          <cell r="BV26" t="str">
            <v>#NA</v>
          </cell>
          <cell r="BZ26" t="str">
            <v/>
          </cell>
          <cell r="CC26" t="e">
            <v>#VALUE!</v>
          </cell>
          <cell r="CD26" t="e">
            <v>#VALUE!</v>
          </cell>
        </row>
        <row r="27">
          <cell r="B27" t="str">
            <v>Penalba, Deneil Carlo</v>
          </cell>
          <cell r="C27" t="str">
            <v>RJ83460G</v>
          </cell>
          <cell r="D27">
            <v>767</v>
          </cell>
          <cell r="E27">
            <v>3</v>
          </cell>
          <cell r="F27">
            <v>30.5</v>
          </cell>
          <cell r="G27">
            <v>17</v>
          </cell>
          <cell r="H27">
            <v>50.5</v>
          </cell>
          <cell r="I27">
            <v>3.2250000000000001</v>
          </cell>
          <cell r="J27">
            <v>25.8</v>
          </cell>
          <cell r="K27">
            <v>0.8</v>
          </cell>
          <cell r="L27">
            <v>6</v>
          </cell>
          <cell r="M27" t="str">
            <v>RJ06150G</v>
          </cell>
          <cell r="N27">
            <v>661</v>
          </cell>
          <cell r="O27">
            <v>1</v>
          </cell>
          <cell r="P27">
            <v>5.5</v>
          </cell>
          <cell r="Q27">
            <v>14.5</v>
          </cell>
          <cell r="R27">
            <v>21</v>
          </cell>
          <cell r="S27">
            <v>1.325</v>
          </cell>
          <cell r="T27">
            <v>10.6</v>
          </cell>
          <cell r="U27">
            <v>0.45500000000000002</v>
          </cell>
          <cell r="V27">
            <v>1</v>
          </cell>
          <cell r="W27" t="str">
            <v>N202N40G</v>
          </cell>
          <cell r="X27">
            <v>59</v>
          </cell>
          <cell r="Y27">
            <v>2</v>
          </cell>
          <cell r="Z27">
            <v>19</v>
          </cell>
          <cell r="AA27">
            <v>23.5</v>
          </cell>
          <cell r="AB27">
            <v>44.5</v>
          </cell>
          <cell r="AC27">
            <v>2.9625000000000004</v>
          </cell>
          <cell r="AD27">
            <v>23.700000000000003</v>
          </cell>
          <cell r="AE27">
            <v>1.008</v>
          </cell>
          <cell r="AF27">
            <v>6</v>
          </cell>
          <cell r="AG27" t="str">
            <v>N203W60G</v>
          </cell>
          <cell r="AH27">
            <v>258</v>
          </cell>
          <cell r="AI27">
            <v>1</v>
          </cell>
          <cell r="AJ27">
            <v>12</v>
          </cell>
          <cell r="AK27">
            <v>14</v>
          </cell>
          <cell r="AL27">
            <v>27</v>
          </cell>
          <cell r="AM27">
            <v>2.85</v>
          </cell>
          <cell r="AN27">
            <v>22.8</v>
          </cell>
          <cell r="AO27">
            <v>1.4239999999999999</v>
          </cell>
          <cell r="AP27">
            <v>1</v>
          </cell>
          <cell r="AQ27" t="str">
            <v>N203W70G</v>
          </cell>
          <cell r="AR27">
            <v>259</v>
          </cell>
          <cell r="AS27">
            <v>0.5</v>
          </cell>
          <cell r="AT27">
            <v>6.5</v>
          </cell>
          <cell r="AU27">
            <v>4.5</v>
          </cell>
          <cell r="AV27">
            <v>11.5</v>
          </cell>
          <cell r="AW27">
            <v>2.85</v>
          </cell>
          <cell r="AX27">
            <v>22.8</v>
          </cell>
          <cell r="AY27">
            <v>2.198</v>
          </cell>
          <cell r="AZ27">
            <v>2</v>
          </cell>
          <cell r="BA27" t="str">
            <v>N207030G</v>
          </cell>
          <cell r="BB27">
            <v>367</v>
          </cell>
          <cell r="BC27">
            <v>1</v>
          </cell>
          <cell r="BD27">
            <v>10.5</v>
          </cell>
          <cell r="BE27">
            <v>16.5</v>
          </cell>
          <cell r="BF27">
            <v>28</v>
          </cell>
          <cell r="BG27">
            <v>1.3125</v>
          </cell>
          <cell r="BH27">
            <v>10.5</v>
          </cell>
          <cell r="BI27">
            <v>0.28899999999999998</v>
          </cell>
          <cell r="BJ27">
            <v>1</v>
          </cell>
          <cell r="BK27" t="str">
            <v>RJ03610G</v>
          </cell>
          <cell r="BL27">
            <v>590</v>
          </cell>
          <cell r="BP27" t="str">
            <v/>
          </cell>
          <cell r="BQ27">
            <v>1.3125</v>
          </cell>
          <cell r="BR27">
            <v>10.5</v>
          </cell>
          <cell r="BS27" t="str">
            <v/>
          </cell>
          <cell r="BT27">
            <v>0</v>
          </cell>
          <cell r="BU27">
            <v>0</v>
          </cell>
          <cell r="BV27" t="str">
            <v>#NA</v>
          </cell>
          <cell r="BZ27" t="str">
            <v/>
          </cell>
          <cell r="CC27" t="e">
            <v>#VALUE!</v>
          </cell>
          <cell r="CD27" t="e">
            <v>#VALUE!</v>
          </cell>
        </row>
        <row r="28">
          <cell r="B28" t="str">
            <v>Torres, Eleazar</v>
          </cell>
          <cell r="C28" t="str">
            <v>RJJ1020G</v>
          </cell>
          <cell r="D28">
            <v>775</v>
          </cell>
          <cell r="E28">
            <v>1.5</v>
          </cell>
          <cell r="F28">
            <v>14</v>
          </cell>
          <cell r="G28">
            <v>7</v>
          </cell>
          <cell r="H28">
            <v>22.5</v>
          </cell>
          <cell r="I28">
            <v>2.4250000000000003</v>
          </cell>
          <cell r="J28">
            <v>19.400000000000002</v>
          </cell>
          <cell r="K28">
            <v>0.23400000000000001</v>
          </cell>
          <cell r="L28">
            <v>2</v>
          </cell>
          <cell r="M28" t="str">
            <v>RJ06190G</v>
          </cell>
          <cell r="N28">
            <v>663</v>
          </cell>
          <cell r="O28">
            <v>1</v>
          </cell>
          <cell r="P28">
            <v>7</v>
          </cell>
          <cell r="Q28">
            <v>6</v>
          </cell>
          <cell r="R28">
            <v>14</v>
          </cell>
          <cell r="S28">
            <v>1.325</v>
          </cell>
          <cell r="T28">
            <v>10.6</v>
          </cell>
          <cell r="U28">
            <v>0.223</v>
          </cell>
          <cell r="V28">
            <v>2</v>
          </cell>
          <cell r="W28" t="str">
            <v>N203030G</v>
          </cell>
          <cell r="X28">
            <v>76</v>
          </cell>
          <cell r="Y28">
            <v>1</v>
          </cell>
          <cell r="Z28">
            <v>14</v>
          </cell>
          <cell r="AA28">
            <v>13</v>
          </cell>
          <cell r="AB28">
            <v>28</v>
          </cell>
          <cell r="AC28">
            <v>2.8625000000000003</v>
          </cell>
          <cell r="AD28">
            <v>22.900000000000002</v>
          </cell>
          <cell r="AE28">
            <v>3.0819999999999999</v>
          </cell>
          <cell r="AF28">
            <v>5</v>
          </cell>
          <cell r="AG28" t="str">
            <v>N203031G</v>
          </cell>
          <cell r="AH28">
            <v>77</v>
          </cell>
          <cell r="AI28">
            <v>1</v>
          </cell>
          <cell r="AJ28">
            <v>11.5</v>
          </cell>
          <cell r="AK28">
            <v>10.5</v>
          </cell>
          <cell r="AL28">
            <v>23</v>
          </cell>
          <cell r="AM28">
            <v>2.3374999999999999</v>
          </cell>
          <cell r="AN28">
            <v>18.7</v>
          </cell>
          <cell r="AO28">
            <v>2.113</v>
          </cell>
          <cell r="AP28">
            <v>4</v>
          </cell>
          <cell r="AQ28" t="str">
            <v>N207040G</v>
          </cell>
          <cell r="AR28">
            <v>368</v>
          </cell>
          <cell r="AS28">
            <v>1</v>
          </cell>
          <cell r="AT28">
            <v>5.5</v>
          </cell>
          <cell r="AU28">
            <v>7</v>
          </cell>
          <cell r="AV28">
            <v>13.5</v>
          </cell>
          <cell r="AW28">
            <v>1.3125</v>
          </cell>
          <cell r="AX28">
            <v>10.5</v>
          </cell>
          <cell r="AY28">
            <v>0.32100000000000001</v>
          </cell>
          <cell r="AZ28">
            <v>1</v>
          </cell>
          <cell r="BA28" t="str">
            <v>N207060G</v>
          </cell>
          <cell r="BB28">
            <v>369</v>
          </cell>
          <cell r="BC28">
            <v>1</v>
          </cell>
          <cell r="BD28">
            <v>10</v>
          </cell>
          <cell r="BE28">
            <v>5</v>
          </cell>
          <cell r="BF28">
            <v>16</v>
          </cell>
          <cell r="BG28">
            <v>1.325</v>
          </cell>
          <cell r="BH28">
            <v>10.6</v>
          </cell>
          <cell r="BI28">
            <v>0.33</v>
          </cell>
          <cell r="BJ28">
            <v>1</v>
          </cell>
          <cell r="BK28" t="str">
            <v>RJ03620G</v>
          </cell>
          <cell r="BL28">
            <v>591</v>
          </cell>
          <cell r="BP28" t="str">
            <v/>
          </cell>
          <cell r="BQ28">
            <v>1.3125</v>
          </cell>
          <cell r="BR28">
            <v>10.5</v>
          </cell>
          <cell r="BS28">
            <v>0.16600000000000001</v>
          </cell>
          <cell r="BT28">
            <v>1</v>
          </cell>
          <cell r="BU28" t="str">
            <v>N202N60G</v>
          </cell>
          <cell r="BV28">
            <v>61</v>
          </cell>
          <cell r="BZ28" t="str">
            <v/>
          </cell>
          <cell r="CA28">
            <v>2.4375000000000004</v>
          </cell>
          <cell r="CB28">
            <v>19.500000000000004</v>
          </cell>
          <cell r="CC28">
            <v>0.33800000000000002</v>
          </cell>
          <cell r="CD28">
            <v>3</v>
          </cell>
        </row>
        <row r="29">
          <cell r="B29" t="str">
            <v>Aclan, Alejo Len</v>
          </cell>
          <cell r="C29" t="str">
            <v>N203040G</v>
          </cell>
          <cell r="D29">
            <v>78</v>
          </cell>
          <cell r="E29">
            <v>3</v>
          </cell>
          <cell r="F29">
            <v>17</v>
          </cell>
          <cell r="G29">
            <v>10</v>
          </cell>
          <cell r="H29">
            <v>30</v>
          </cell>
          <cell r="I29">
            <v>3.7375000000000003</v>
          </cell>
          <cell r="J29">
            <v>29.900000000000002</v>
          </cell>
          <cell r="K29">
            <v>1.4039999999999999</v>
          </cell>
          <cell r="L29">
            <v>5</v>
          </cell>
          <cell r="M29" t="str">
            <v>N203041G</v>
          </cell>
          <cell r="N29">
            <v>79</v>
          </cell>
          <cell r="O29">
            <v>1</v>
          </cell>
          <cell r="P29">
            <v>20.5</v>
          </cell>
          <cell r="Q29">
            <v>12</v>
          </cell>
          <cell r="R29">
            <v>33.5</v>
          </cell>
          <cell r="S29">
            <v>4.2875000000000005</v>
          </cell>
          <cell r="T29">
            <v>34.300000000000004</v>
          </cell>
          <cell r="U29">
            <v>1.274</v>
          </cell>
          <cell r="V29">
            <v>8</v>
          </cell>
          <cell r="W29" t="str">
            <v>N203042G</v>
          </cell>
          <cell r="X29">
            <v>80</v>
          </cell>
          <cell r="Y29">
            <v>2</v>
          </cell>
          <cell r="Z29">
            <v>10</v>
          </cell>
          <cell r="AA29">
            <v>9</v>
          </cell>
          <cell r="AB29">
            <v>21</v>
          </cell>
          <cell r="AC29">
            <v>2.8625000000000003</v>
          </cell>
          <cell r="AD29">
            <v>22.900000000000002</v>
          </cell>
          <cell r="AE29">
            <v>0.58199999999999996</v>
          </cell>
          <cell r="AF29">
            <v>7</v>
          </cell>
          <cell r="AG29" t="str">
            <v>N203043G</v>
          </cell>
          <cell r="AH29">
            <v>81</v>
          </cell>
          <cell r="AI29">
            <v>1</v>
          </cell>
          <cell r="AJ29">
            <v>12</v>
          </cell>
          <cell r="AK29">
            <v>6</v>
          </cell>
          <cell r="AL29">
            <v>19</v>
          </cell>
          <cell r="AM29">
            <v>2.3125</v>
          </cell>
          <cell r="AN29">
            <v>18.5</v>
          </cell>
          <cell r="AO29">
            <v>0.54200000000000004</v>
          </cell>
          <cell r="AP29">
            <v>2</v>
          </cell>
          <cell r="AQ29" t="str">
            <v>N207170G</v>
          </cell>
          <cell r="AR29">
            <v>374</v>
          </cell>
          <cell r="AS29">
            <v>1</v>
          </cell>
          <cell r="AT29">
            <v>6</v>
          </cell>
          <cell r="AU29">
            <v>7</v>
          </cell>
          <cell r="AV29">
            <v>14</v>
          </cell>
          <cell r="AW29">
            <v>1.325</v>
          </cell>
          <cell r="AX29">
            <v>10.6</v>
          </cell>
          <cell r="AY29">
            <v>0.112</v>
          </cell>
          <cell r="AZ29">
            <v>1</v>
          </cell>
          <cell r="BA29" t="str">
            <v>N207210G</v>
          </cell>
          <cell r="BB29">
            <v>379</v>
          </cell>
          <cell r="BC29">
            <v>1</v>
          </cell>
          <cell r="BD29">
            <v>11</v>
          </cell>
          <cell r="BE29">
            <v>5</v>
          </cell>
          <cell r="BF29">
            <v>17</v>
          </cell>
          <cell r="BG29">
            <v>1.325</v>
          </cell>
          <cell r="BH29">
            <v>10.6</v>
          </cell>
          <cell r="BI29">
            <v>0.17199999999999999</v>
          </cell>
          <cell r="BJ29">
            <v>1</v>
          </cell>
          <cell r="BK29">
            <v>0</v>
          </cell>
          <cell r="BL29" t="str">
            <v>#NA</v>
          </cell>
          <cell r="BP29" t="str">
            <v/>
          </cell>
          <cell r="BS29" t="e">
            <v>#VALUE!</v>
          </cell>
          <cell r="BT29" t="e">
            <v>#VALUE!</v>
          </cell>
          <cell r="BU29">
            <v>0</v>
          </cell>
          <cell r="BV29" t="str">
            <v>#NA</v>
          </cell>
          <cell r="BZ29" t="str">
            <v/>
          </cell>
          <cell r="CC29" t="e">
            <v>#VALUE!</v>
          </cell>
          <cell r="CD29" t="e">
            <v>#VALUE!</v>
          </cell>
        </row>
        <row r="30">
          <cell r="B30" t="str">
            <v>Bohol, Joshua</v>
          </cell>
          <cell r="C30" t="str">
            <v>RJ40K10G</v>
          </cell>
          <cell r="D30">
            <v>721</v>
          </cell>
          <cell r="E30">
            <v>3</v>
          </cell>
          <cell r="F30">
            <v>7</v>
          </cell>
          <cell r="G30">
            <v>11</v>
          </cell>
          <cell r="H30">
            <v>21</v>
          </cell>
          <cell r="I30">
            <v>1.7125000000000001</v>
          </cell>
          <cell r="J30">
            <v>13.700000000000001</v>
          </cell>
          <cell r="K30">
            <v>0.187</v>
          </cell>
          <cell r="L30">
            <v>3</v>
          </cell>
          <cell r="M30" t="str">
            <v>RJ05520G</v>
          </cell>
          <cell r="N30">
            <v>649</v>
          </cell>
          <cell r="O30">
            <v>3</v>
          </cell>
          <cell r="P30">
            <v>22</v>
          </cell>
          <cell r="Q30">
            <v>5</v>
          </cell>
          <cell r="R30">
            <v>30</v>
          </cell>
          <cell r="S30">
            <v>2.4250000000000003</v>
          </cell>
          <cell r="T30">
            <v>19.400000000000002</v>
          </cell>
          <cell r="U30">
            <v>0.21299999999999999</v>
          </cell>
          <cell r="V30">
            <v>1</v>
          </cell>
          <cell r="W30" t="str">
            <v>N202670G</v>
          </cell>
          <cell r="X30">
            <v>35</v>
          </cell>
          <cell r="Y30">
            <v>4</v>
          </cell>
          <cell r="Z30">
            <v>14.5</v>
          </cell>
          <cell r="AA30">
            <v>4.5</v>
          </cell>
          <cell r="AB30">
            <v>23</v>
          </cell>
          <cell r="AC30">
            <v>2.875</v>
          </cell>
          <cell r="AD30">
            <v>23</v>
          </cell>
          <cell r="AE30">
            <v>1.302</v>
          </cell>
          <cell r="AF30">
            <v>5</v>
          </cell>
          <cell r="AG30" t="str">
            <v>N206400G</v>
          </cell>
          <cell r="AH30">
            <v>340</v>
          </cell>
          <cell r="AI30">
            <v>2</v>
          </cell>
          <cell r="AJ30">
            <v>3</v>
          </cell>
          <cell r="AK30">
            <v>6</v>
          </cell>
          <cell r="AL30">
            <v>11</v>
          </cell>
          <cell r="AM30">
            <v>1.3</v>
          </cell>
          <cell r="AN30">
            <v>10.4</v>
          </cell>
          <cell r="AO30">
            <v>7.0000000000000007E-2</v>
          </cell>
          <cell r="AP30">
            <v>0</v>
          </cell>
          <cell r="AQ30" t="str">
            <v>RJ02040G</v>
          </cell>
          <cell r="AR30">
            <v>512</v>
          </cell>
          <cell r="AS30">
            <v>2</v>
          </cell>
          <cell r="AT30">
            <v>10</v>
          </cell>
          <cell r="AU30">
            <v>6</v>
          </cell>
          <cell r="AV30">
            <v>18</v>
          </cell>
          <cell r="AW30">
            <v>1.925</v>
          </cell>
          <cell r="AX30">
            <v>15.4</v>
          </cell>
          <cell r="AY30">
            <v>0.113</v>
          </cell>
          <cell r="AZ30">
            <v>5</v>
          </cell>
          <cell r="BA30" t="str">
            <v>RJ03D10G</v>
          </cell>
          <cell r="BB30">
            <v>616</v>
          </cell>
          <cell r="BC30">
            <v>2</v>
          </cell>
          <cell r="BD30">
            <v>2</v>
          </cell>
          <cell r="BE30">
            <v>8</v>
          </cell>
          <cell r="BF30">
            <v>12</v>
          </cell>
          <cell r="BG30">
            <v>1.9375</v>
          </cell>
          <cell r="BH30">
            <v>15.5</v>
          </cell>
          <cell r="BI30">
            <v>0.23100000000000001</v>
          </cell>
          <cell r="BJ30">
            <v>2</v>
          </cell>
          <cell r="BK30" t="str">
            <v>N203290G</v>
          </cell>
          <cell r="BL30">
            <v>102</v>
          </cell>
          <cell r="BP30" t="str">
            <v/>
          </cell>
          <cell r="BQ30">
            <v>1.325</v>
          </cell>
          <cell r="BR30">
            <v>10.6</v>
          </cell>
          <cell r="BS30">
            <v>0.39200000000000002</v>
          </cell>
          <cell r="BT30">
            <v>3</v>
          </cell>
          <cell r="BU30">
            <v>0</v>
          </cell>
          <cell r="BV30" t="str">
            <v>#NA</v>
          </cell>
          <cell r="BZ30" t="str">
            <v/>
          </cell>
          <cell r="CC30" t="e">
            <v>#VALUE!</v>
          </cell>
          <cell r="CD30" t="e">
            <v>#VALUE!</v>
          </cell>
        </row>
        <row r="31">
          <cell r="B31" t="str">
            <v>Cuba, Carl Angelo</v>
          </cell>
          <cell r="C31" t="str">
            <v>RJ07030G</v>
          </cell>
          <cell r="D31">
            <v>682</v>
          </cell>
          <cell r="E31">
            <v>2</v>
          </cell>
          <cell r="F31">
            <v>17</v>
          </cell>
          <cell r="G31">
            <v>16</v>
          </cell>
          <cell r="H31">
            <v>35</v>
          </cell>
          <cell r="I31">
            <v>2.8625000000000003</v>
          </cell>
          <cell r="J31">
            <v>22.900000000000002</v>
          </cell>
          <cell r="K31">
            <v>0.88100000000000001</v>
          </cell>
          <cell r="L31" t="str">
            <v/>
          </cell>
          <cell r="M31" t="str">
            <v>RJ07031G</v>
          </cell>
          <cell r="N31">
            <v>683</v>
          </cell>
          <cell r="O31">
            <v>1</v>
          </cell>
          <cell r="P31">
            <v>13</v>
          </cell>
          <cell r="Q31">
            <v>20</v>
          </cell>
          <cell r="R31">
            <v>34</v>
          </cell>
          <cell r="S31">
            <v>2.8625000000000003</v>
          </cell>
          <cell r="T31">
            <v>22.900000000000002</v>
          </cell>
          <cell r="U31">
            <v>0.72</v>
          </cell>
          <cell r="V31">
            <v>5</v>
          </cell>
          <cell r="W31" t="str">
            <v>N2J1040G</v>
          </cell>
          <cell r="X31">
            <v>500</v>
          </cell>
          <cell r="Y31">
            <v>2</v>
          </cell>
          <cell r="Z31">
            <v>10</v>
          </cell>
          <cell r="AA31">
            <v>11</v>
          </cell>
          <cell r="AB31">
            <v>23</v>
          </cell>
          <cell r="AC31">
            <v>2.8375000000000004</v>
          </cell>
          <cell r="AD31">
            <v>22.700000000000003</v>
          </cell>
          <cell r="AE31">
            <v>0.71799999999999997</v>
          </cell>
          <cell r="AF31">
            <v>3</v>
          </cell>
          <cell r="AG31" t="str">
            <v>N2J1041G</v>
          </cell>
          <cell r="AH31">
            <v>501</v>
          </cell>
          <cell r="AI31">
            <v>2</v>
          </cell>
          <cell r="AJ31">
            <v>12</v>
          </cell>
          <cell r="AK31">
            <v>13</v>
          </cell>
          <cell r="AL31">
            <v>27</v>
          </cell>
          <cell r="AM31">
            <v>1.3375000000000001</v>
          </cell>
          <cell r="AN31">
            <v>10.700000000000001</v>
          </cell>
          <cell r="AO31">
            <v>0.38100000000000001</v>
          </cell>
          <cell r="AP31">
            <v>3</v>
          </cell>
          <cell r="AQ31" t="str">
            <v>RJJ1980G</v>
          </cell>
          <cell r="AR31">
            <v>783</v>
          </cell>
          <cell r="AS31">
            <v>2</v>
          </cell>
          <cell r="AT31">
            <v>11</v>
          </cell>
          <cell r="AU31">
            <v>14</v>
          </cell>
          <cell r="AV31">
            <v>27</v>
          </cell>
          <cell r="AW31">
            <v>1.925</v>
          </cell>
          <cell r="AX31">
            <v>15.4</v>
          </cell>
          <cell r="AY31">
            <v>0.214</v>
          </cell>
          <cell r="AZ31">
            <v>1</v>
          </cell>
          <cell r="BA31" t="str">
            <v>N204480G</v>
          </cell>
          <cell r="BB31">
            <v>298</v>
          </cell>
          <cell r="BC31">
            <v>2</v>
          </cell>
          <cell r="BD31">
            <v>10</v>
          </cell>
          <cell r="BE31">
            <v>6</v>
          </cell>
          <cell r="BF31">
            <v>18</v>
          </cell>
          <cell r="BG31">
            <v>1.3125</v>
          </cell>
          <cell r="BH31">
            <v>10.5</v>
          </cell>
          <cell r="BI31">
            <v>0.186</v>
          </cell>
          <cell r="BJ31">
            <v>0</v>
          </cell>
          <cell r="BK31" t="str">
            <v>RJ03600G</v>
          </cell>
          <cell r="BL31">
            <v>589</v>
          </cell>
          <cell r="BP31" t="str">
            <v/>
          </cell>
          <cell r="BQ31">
            <v>1.3125</v>
          </cell>
          <cell r="BR31">
            <v>10.5</v>
          </cell>
          <cell r="BS31">
            <v>0.248</v>
          </cell>
          <cell r="BT31">
            <v>0</v>
          </cell>
          <cell r="BU31" t="str">
            <v>N202M70G</v>
          </cell>
          <cell r="BV31">
            <v>56</v>
          </cell>
          <cell r="BZ31" t="str">
            <v/>
          </cell>
          <cell r="CA31">
            <v>1.3125</v>
          </cell>
          <cell r="CB31">
            <v>10.5</v>
          </cell>
          <cell r="CC31">
            <v>0.16700000000000001</v>
          </cell>
          <cell r="CD31">
            <v>4</v>
          </cell>
        </row>
        <row r="32">
          <cell r="B32" t="str">
            <v>David, Jim Rhose</v>
          </cell>
          <cell r="C32" t="str">
            <v>RJ40K30G</v>
          </cell>
          <cell r="D32">
            <v>723</v>
          </cell>
          <cell r="E32">
            <v>1</v>
          </cell>
          <cell r="F32">
            <v>23.5</v>
          </cell>
          <cell r="G32">
            <v>17.5</v>
          </cell>
          <cell r="H32">
            <v>42</v>
          </cell>
          <cell r="I32">
            <v>2.4250000000000003</v>
          </cell>
          <cell r="J32">
            <v>19.400000000000002</v>
          </cell>
          <cell r="K32">
            <v>0.21199999999999999</v>
          </cell>
          <cell r="L32">
            <v>1</v>
          </cell>
          <cell r="M32" t="str">
            <v>RJ05610G</v>
          </cell>
          <cell r="N32">
            <v>651</v>
          </cell>
          <cell r="O32">
            <v>1</v>
          </cell>
          <cell r="P32">
            <v>27.5</v>
          </cell>
          <cell r="Q32">
            <v>9.5</v>
          </cell>
          <cell r="R32">
            <v>38</v>
          </cell>
          <cell r="S32">
            <v>2.3125</v>
          </cell>
          <cell r="T32">
            <v>18.5</v>
          </cell>
          <cell r="U32">
            <v>0.189</v>
          </cell>
          <cell r="V32">
            <v>6</v>
          </cell>
          <cell r="W32" t="str">
            <v>RJ07420G</v>
          </cell>
          <cell r="X32">
            <v>686</v>
          </cell>
          <cell r="Y32">
            <v>1</v>
          </cell>
          <cell r="Z32">
            <v>30</v>
          </cell>
          <cell r="AA32">
            <v>32</v>
          </cell>
          <cell r="AB32">
            <v>63</v>
          </cell>
          <cell r="AC32">
            <v>2.85</v>
          </cell>
          <cell r="AD32">
            <v>22.8</v>
          </cell>
          <cell r="AE32">
            <v>2.5960000000000001</v>
          </cell>
          <cell r="AF32">
            <v>0</v>
          </cell>
          <cell r="AG32" t="str">
            <v>RJ07421G</v>
          </cell>
          <cell r="AH32">
            <v>687</v>
          </cell>
          <cell r="AI32">
            <v>1</v>
          </cell>
          <cell r="AJ32">
            <v>30.5</v>
          </cell>
          <cell r="AK32">
            <v>10</v>
          </cell>
          <cell r="AL32">
            <v>41.5</v>
          </cell>
          <cell r="AM32">
            <v>6.65</v>
          </cell>
          <cell r="AN32">
            <v>53.2</v>
          </cell>
          <cell r="AO32">
            <v>2.415</v>
          </cell>
          <cell r="AP32">
            <v>1</v>
          </cell>
          <cell r="AQ32" t="str">
            <v>N202970G</v>
          </cell>
          <cell r="AR32">
            <v>41</v>
          </cell>
          <cell r="AS32" t="str">
            <v/>
          </cell>
          <cell r="AT32" t="str">
            <v/>
          </cell>
          <cell r="AU32" t="str">
            <v/>
          </cell>
          <cell r="AV32" t="str">
            <v/>
          </cell>
          <cell r="AW32">
            <v>2.8625000000000003</v>
          </cell>
          <cell r="AX32">
            <v>22.900000000000002</v>
          </cell>
          <cell r="AY32" t="str">
            <v/>
          </cell>
          <cell r="AZ32">
            <v>0</v>
          </cell>
          <cell r="BA32" t="str">
            <v>N203R60G</v>
          </cell>
          <cell r="BB32">
            <v>223</v>
          </cell>
          <cell r="BC32" t="str">
            <v/>
          </cell>
          <cell r="BD32" t="str">
            <v/>
          </cell>
          <cell r="BE32" t="str">
            <v/>
          </cell>
          <cell r="BF32" t="str">
            <v/>
          </cell>
          <cell r="BG32">
            <v>1.3125</v>
          </cell>
          <cell r="BH32">
            <v>10.5</v>
          </cell>
          <cell r="BI32" t="str">
            <v/>
          </cell>
          <cell r="BJ32">
            <v>0</v>
          </cell>
          <cell r="BK32">
            <v>0</v>
          </cell>
          <cell r="BL32" t="str">
            <v>#NA</v>
          </cell>
          <cell r="BP32" t="str">
            <v/>
          </cell>
          <cell r="BS32" t="e">
            <v>#VALUE!</v>
          </cell>
          <cell r="BT32" t="e">
            <v>#VALUE!</v>
          </cell>
          <cell r="BU32">
            <v>0</v>
          </cell>
          <cell r="BV32" t="str">
            <v>#NA</v>
          </cell>
          <cell r="BZ32" t="str">
            <v/>
          </cell>
          <cell r="CC32" t="e">
            <v>#VALUE!</v>
          </cell>
          <cell r="CD32" t="e">
            <v>#VALUE!</v>
          </cell>
        </row>
        <row r="33">
          <cell r="B33" t="str">
            <v>Decena, Jomari</v>
          </cell>
          <cell r="C33" t="str">
            <v>RJ07Z50G</v>
          </cell>
          <cell r="D33">
            <v>691</v>
          </cell>
          <cell r="E33">
            <v>1</v>
          </cell>
          <cell r="F33">
            <v>13</v>
          </cell>
          <cell r="G33">
            <v>7</v>
          </cell>
          <cell r="H33">
            <v>21</v>
          </cell>
          <cell r="I33">
            <v>1.9375</v>
          </cell>
          <cell r="J33">
            <v>15.5</v>
          </cell>
          <cell r="K33">
            <v>0.23100000000000001</v>
          </cell>
          <cell r="L33">
            <v>4</v>
          </cell>
          <cell r="M33" t="str">
            <v>N2J1060G</v>
          </cell>
          <cell r="N33">
            <v>502</v>
          </cell>
          <cell r="O33">
            <v>1</v>
          </cell>
          <cell r="P33">
            <v>13</v>
          </cell>
          <cell r="Q33">
            <v>15</v>
          </cell>
          <cell r="R33">
            <v>29</v>
          </cell>
          <cell r="S33">
            <v>2.85</v>
          </cell>
          <cell r="T33">
            <v>22.8</v>
          </cell>
          <cell r="U33">
            <v>1.1379999999999999</v>
          </cell>
          <cell r="V33">
            <v>0</v>
          </cell>
          <cell r="W33" t="str">
            <v>N2J1061G</v>
          </cell>
          <cell r="X33">
            <v>503</v>
          </cell>
          <cell r="Y33">
            <v>2</v>
          </cell>
          <cell r="Z33">
            <v>6</v>
          </cell>
          <cell r="AA33">
            <v>14</v>
          </cell>
          <cell r="AB33">
            <v>22</v>
          </cell>
          <cell r="AC33">
            <v>1.4000000000000001</v>
          </cell>
          <cell r="AD33">
            <v>11.200000000000001</v>
          </cell>
          <cell r="AE33">
            <v>0.73199999999999998</v>
          </cell>
          <cell r="AF33">
            <v>3</v>
          </cell>
          <cell r="AG33" t="str">
            <v>N205120G</v>
          </cell>
          <cell r="AH33">
            <v>317</v>
          </cell>
          <cell r="AI33">
            <v>2</v>
          </cell>
          <cell r="AJ33">
            <v>6</v>
          </cell>
          <cell r="AK33">
            <v>17</v>
          </cell>
          <cell r="AL33">
            <v>25</v>
          </cell>
          <cell r="AM33">
            <v>2.85</v>
          </cell>
          <cell r="AN33">
            <v>22.8</v>
          </cell>
          <cell r="AO33">
            <v>5.41</v>
          </cell>
          <cell r="AP33">
            <v>2</v>
          </cell>
          <cell r="AQ33" t="str">
            <v>N205121G</v>
          </cell>
          <cell r="AR33">
            <v>318</v>
          </cell>
          <cell r="AS33">
            <v>1</v>
          </cell>
          <cell r="AT33">
            <v>18</v>
          </cell>
          <cell r="AU33">
            <v>45</v>
          </cell>
          <cell r="AV33">
            <v>64</v>
          </cell>
          <cell r="AW33">
            <v>13.074999999999999</v>
          </cell>
          <cell r="AX33">
            <v>104.6</v>
          </cell>
          <cell r="AY33">
            <v>5.3440000000000003</v>
          </cell>
          <cell r="AZ33">
            <v>0</v>
          </cell>
          <cell r="BA33" t="str">
            <v>RJ03B10G</v>
          </cell>
          <cell r="BB33">
            <v>614</v>
          </cell>
          <cell r="BF33" t="str">
            <v/>
          </cell>
          <cell r="BI33" t="str">
            <v/>
          </cell>
          <cell r="BJ33">
            <v>1</v>
          </cell>
          <cell r="BK33">
            <v>0</v>
          </cell>
          <cell r="BL33" t="str">
            <v>#NA</v>
          </cell>
          <cell r="BP33" t="str">
            <v/>
          </cell>
          <cell r="BS33" t="e">
            <v>#VALUE!</v>
          </cell>
          <cell r="BT33" t="e">
            <v>#VALUE!</v>
          </cell>
          <cell r="BU33">
            <v>0</v>
          </cell>
          <cell r="BV33" t="str">
            <v>#NA</v>
          </cell>
          <cell r="BZ33" t="str">
            <v/>
          </cell>
          <cell r="CC33" t="e">
            <v>#VALUE!</v>
          </cell>
          <cell r="CD33" t="e">
            <v>#VALUE!</v>
          </cell>
        </row>
        <row r="34">
          <cell r="B34" t="str">
            <v>Donato, Janssen</v>
          </cell>
          <cell r="C34" t="str">
            <v>RJJ1S20G</v>
          </cell>
          <cell r="D34">
            <v>785</v>
          </cell>
          <cell r="E34">
            <v>0.5</v>
          </cell>
          <cell r="F34">
            <v>10</v>
          </cell>
          <cell r="G34">
            <v>7.5</v>
          </cell>
          <cell r="H34">
            <v>18</v>
          </cell>
          <cell r="I34">
            <v>1.9375</v>
          </cell>
          <cell r="J34">
            <v>15.5</v>
          </cell>
          <cell r="K34">
            <v>0.10299999999999999</v>
          </cell>
          <cell r="L34">
            <v>3</v>
          </cell>
          <cell r="M34" t="str">
            <v>N205130G</v>
          </cell>
          <cell r="N34">
            <v>319</v>
          </cell>
          <cell r="O34">
            <v>0.5</v>
          </cell>
          <cell r="P34">
            <v>10</v>
          </cell>
          <cell r="Q34">
            <v>9</v>
          </cell>
          <cell r="R34">
            <v>19.5</v>
          </cell>
          <cell r="S34">
            <v>2.85</v>
          </cell>
          <cell r="T34">
            <v>22.8</v>
          </cell>
          <cell r="U34">
            <v>1.1279999999999999</v>
          </cell>
          <cell r="V34">
            <v>3</v>
          </cell>
          <cell r="W34" t="str">
            <v>N205131G</v>
          </cell>
          <cell r="X34">
            <v>320</v>
          </cell>
          <cell r="Y34">
            <v>0.5</v>
          </cell>
          <cell r="Z34">
            <v>10</v>
          </cell>
          <cell r="AA34">
            <v>9</v>
          </cell>
          <cell r="AB34">
            <v>19.5</v>
          </cell>
          <cell r="AC34">
            <v>1.3625</v>
          </cell>
          <cell r="AD34">
            <v>10.9</v>
          </cell>
          <cell r="AE34">
            <v>0.58699999999999997</v>
          </cell>
          <cell r="AF34">
            <v>0</v>
          </cell>
          <cell r="AG34" t="str">
            <v>N240050G</v>
          </cell>
          <cell r="AH34">
            <v>437</v>
          </cell>
          <cell r="AI34">
            <v>0.5</v>
          </cell>
          <cell r="AJ34">
            <v>14</v>
          </cell>
          <cell r="AK34">
            <v>17</v>
          </cell>
          <cell r="AL34">
            <v>31.5</v>
          </cell>
          <cell r="AM34">
            <v>2.85</v>
          </cell>
          <cell r="AN34">
            <v>22.8</v>
          </cell>
          <cell r="AO34">
            <v>2.641</v>
          </cell>
          <cell r="AP34">
            <v>7</v>
          </cell>
          <cell r="AQ34" t="str">
            <v>N240051G</v>
          </cell>
          <cell r="AR34">
            <v>438</v>
          </cell>
          <cell r="AS34">
            <v>0.5</v>
          </cell>
          <cell r="AT34">
            <v>10</v>
          </cell>
          <cell r="AU34">
            <v>10</v>
          </cell>
          <cell r="AV34">
            <v>20.5</v>
          </cell>
          <cell r="AW34">
            <v>2.3125</v>
          </cell>
          <cell r="AX34">
            <v>18.5</v>
          </cell>
          <cell r="AY34">
            <v>2.2949999999999999</v>
          </cell>
          <cell r="AZ34">
            <v>3</v>
          </cell>
          <cell r="BA34" t="str">
            <v>RJ038C0G</v>
          </cell>
          <cell r="BB34">
            <v>608</v>
          </cell>
          <cell r="BF34" t="str">
            <v/>
          </cell>
          <cell r="BG34">
            <v>1.325</v>
          </cell>
          <cell r="BH34">
            <v>10.6</v>
          </cell>
          <cell r="BI34">
            <v>0.192</v>
          </cell>
          <cell r="BJ34">
            <v>1</v>
          </cell>
          <cell r="BK34" t="str">
            <v>N202NC0G</v>
          </cell>
          <cell r="BL34">
            <v>65</v>
          </cell>
          <cell r="BP34" t="str">
            <v/>
          </cell>
          <cell r="BQ34">
            <v>1.95</v>
          </cell>
          <cell r="BR34">
            <v>15.6</v>
          </cell>
          <cell r="BS34">
            <v>0.27300000000000002</v>
          </cell>
          <cell r="BT34">
            <v>1</v>
          </cell>
          <cell r="BU34">
            <v>0</v>
          </cell>
          <cell r="BV34" t="str">
            <v>#NA</v>
          </cell>
          <cell r="BZ34" t="str">
            <v/>
          </cell>
          <cell r="CC34" t="e">
            <v>#VALUE!</v>
          </cell>
          <cell r="CD34" t="e">
            <v>#VALUE!</v>
          </cell>
        </row>
        <row r="35">
          <cell r="B35" t="str">
            <v>Gacute, Ralph Edmund</v>
          </cell>
          <cell r="C35" t="str">
            <v>RJ40K20G</v>
          </cell>
          <cell r="D35">
            <v>722</v>
          </cell>
          <cell r="E35">
            <v>2</v>
          </cell>
          <cell r="F35">
            <v>11</v>
          </cell>
          <cell r="G35">
            <v>18</v>
          </cell>
          <cell r="H35">
            <v>31</v>
          </cell>
          <cell r="I35">
            <v>2.875</v>
          </cell>
          <cell r="J35">
            <v>23</v>
          </cell>
          <cell r="K35">
            <v>0.82699999999999996</v>
          </cell>
          <cell r="L35">
            <v>5</v>
          </cell>
          <cell r="M35" t="str">
            <v>RJ05600G</v>
          </cell>
          <cell r="N35">
            <v>650</v>
          </cell>
          <cell r="O35">
            <v>1</v>
          </cell>
          <cell r="P35">
            <v>9</v>
          </cell>
          <cell r="Q35">
            <v>9</v>
          </cell>
          <cell r="R35">
            <v>19</v>
          </cell>
          <cell r="S35">
            <v>1.925</v>
          </cell>
          <cell r="T35">
            <v>15.4</v>
          </cell>
          <cell r="U35">
            <v>9.0999999999999998E-2</v>
          </cell>
          <cell r="V35">
            <v>1</v>
          </cell>
          <cell r="W35" t="str">
            <v>N202790G</v>
          </cell>
          <cell r="X35">
            <v>36</v>
          </cell>
          <cell r="Y35">
            <v>1</v>
          </cell>
          <cell r="Z35">
            <v>18</v>
          </cell>
          <cell r="AA35">
            <v>10</v>
          </cell>
          <cell r="AB35">
            <v>29</v>
          </cell>
          <cell r="AC35">
            <v>2.8625000000000003</v>
          </cell>
          <cell r="AD35">
            <v>22.900000000000002</v>
          </cell>
          <cell r="AE35">
            <v>0.74399999999999999</v>
          </cell>
          <cell r="AF35">
            <v>8</v>
          </cell>
          <cell r="AG35" t="str">
            <v>N206500G</v>
          </cell>
          <cell r="AH35">
            <v>341</v>
          </cell>
          <cell r="AI35">
            <v>1</v>
          </cell>
          <cell r="AJ35">
            <v>30</v>
          </cell>
          <cell r="AK35">
            <v>23</v>
          </cell>
          <cell r="AL35">
            <v>54</v>
          </cell>
          <cell r="AM35">
            <v>6.6375000000000002</v>
          </cell>
          <cell r="AN35">
            <v>53.1</v>
          </cell>
          <cell r="AO35">
            <v>2.8679999999999999</v>
          </cell>
          <cell r="AP35" t="str">
            <v/>
          </cell>
          <cell r="AQ35" t="str">
            <v>RJ038G0G</v>
          </cell>
          <cell r="AR35">
            <v>611</v>
          </cell>
          <cell r="AS35" t="str">
            <v/>
          </cell>
          <cell r="AT35" t="str">
            <v/>
          </cell>
          <cell r="AU35" t="str">
            <v/>
          </cell>
          <cell r="AV35" t="str">
            <v/>
          </cell>
          <cell r="AW35">
            <v>1.925</v>
          </cell>
          <cell r="AX35">
            <v>15.4</v>
          </cell>
          <cell r="AY35" t="str">
            <v/>
          </cell>
          <cell r="AZ35">
            <v>0</v>
          </cell>
          <cell r="BA35" t="str">
            <v>N203390G</v>
          </cell>
          <cell r="BB35">
            <v>107</v>
          </cell>
          <cell r="BC35">
            <v>1</v>
          </cell>
          <cell r="BD35">
            <v>5</v>
          </cell>
          <cell r="BE35">
            <v>5</v>
          </cell>
          <cell r="BF35">
            <v>11</v>
          </cell>
          <cell r="BG35">
            <v>1.325</v>
          </cell>
          <cell r="BH35">
            <v>10.6</v>
          </cell>
          <cell r="BI35">
            <v>0.16700000000000001</v>
          </cell>
          <cell r="BJ35">
            <v>0</v>
          </cell>
          <cell r="BK35">
            <v>0</v>
          </cell>
          <cell r="BL35" t="str">
            <v>#NA</v>
          </cell>
          <cell r="BP35" t="str">
            <v/>
          </cell>
          <cell r="BS35" t="e">
            <v>#VALUE!</v>
          </cell>
          <cell r="BT35" t="e">
            <v>#VALUE!</v>
          </cell>
          <cell r="BU35">
            <v>0</v>
          </cell>
          <cell r="BV35" t="str">
            <v>#NA</v>
          </cell>
          <cell r="BZ35" t="str">
            <v/>
          </cell>
          <cell r="CC35" t="e">
            <v>#VALUE!</v>
          </cell>
          <cell r="CD35" t="e">
            <v>#VALUE!</v>
          </cell>
        </row>
        <row r="36">
          <cell r="B36" t="str">
            <v>Magsino, Romel</v>
          </cell>
          <cell r="C36" t="str">
            <v>RJJ1060G</v>
          </cell>
          <cell r="D36">
            <v>777</v>
          </cell>
          <cell r="E36">
            <v>2</v>
          </cell>
          <cell r="F36">
            <v>6</v>
          </cell>
          <cell r="G36">
            <v>9</v>
          </cell>
          <cell r="H36">
            <v>17</v>
          </cell>
          <cell r="I36">
            <v>1.925</v>
          </cell>
          <cell r="J36">
            <v>15.4</v>
          </cell>
          <cell r="K36">
            <v>0.113</v>
          </cell>
          <cell r="L36">
            <v>2</v>
          </cell>
          <cell r="M36" t="str">
            <v>RJ06500G</v>
          </cell>
          <cell r="N36">
            <v>665</v>
          </cell>
          <cell r="O36">
            <v>2</v>
          </cell>
          <cell r="P36">
            <v>13</v>
          </cell>
          <cell r="Q36">
            <v>7</v>
          </cell>
          <cell r="R36">
            <v>22</v>
          </cell>
          <cell r="S36">
            <v>1.3125</v>
          </cell>
          <cell r="T36">
            <v>10.5</v>
          </cell>
          <cell r="U36">
            <v>0.13200000000000001</v>
          </cell>
          <cell r="V36">
            <v>3</v>
          </cell>
          <cell r="W36" t="str">
            <v>N203050G</v>
          </cell>
          <cell r="X36">
            <v>82</v>
          </cell>
          <cell r="Y36">
            <v>2</v>
          </cell>
          <cell r="Z36">
            <v>19</v>
          </cell>
          <cell r="AA36">
            <v>21</v>
          </cell>
          <cell r="AB36">
            <v>42</v>
          </cell>
          <cell r="AC36">
            <v>2.8375000000000004</v>
          </cell>
          <cell r="AD36">
            <v>22.700000000000003</v>
          </cell>
          <cell r="AE36">
            <v>1.419</v>
          </cell>
          <cell r="AF36">
            <v>0</v>
          </cell>
          <cell r="AG36" t="str">
            <v>N203051G</v>
          </cell>
          <cell r="AH36">
            <v>83</v>
          </cell>
          <cell r="AI36">
            <v>2</v>
          </cell>
          <cell r="AJ36">
            <v>18</v>
          </cell>
          <cell r="AK36">
            <v>7</v>
          </cell>
          <cell r="AL36">
            <v>27</v>
          </cell>
          <cell r="AM36">
            <v>1.95</v>
          </cell>
          <cell r="AN36">
            <v>15.6</v>
          </cell>
          <cell r="AO36">
            <v>0.56699999999999995</v>
          </cell>
          <cell r="AP36">
            <v>0</v>
          </cell>
          <cell r="AQ36" t="str">
            <v>N207240G</v>
          </cell>
          <cell r="AR36">
            <v>383</v>
          </cell>
          <cell r="AS36">
            <v>2</v>
          </cell>
          <cell r="AT36">
            <v>6</v>
          </cell>
          <cell r="AU36">
            <v>11</v>
          </cell>
          <cell r="AV36">
            <v>19</v>
          </cell>
          <cell r="AW36">
            <v>1.3125</v>
          </cell>
          <cell r="AX36">
            <v>10.5</v>
          </cell>
          <cell r="AY36">
            <v>0.109</v>
          </cell>
          <cell r="AZ36">
            <v>3</v>
          </cell>
          <cell r="BA36" t="str">
            <v>N207280G</v>
          </cell>
          <cell r="BB36">
            <v>384</v>
          </cell>
          <cell r="BC36">
            <v>2</v>
          </cell>
          <cell r="BD36">
            <v>5</v>
          </cell>
          <cell r="BE36">
            <v>4</v>
          </cell>
          <cell r="BF36">
            <v>11</v>
          </cell>
          <cell r="BG36">
            <v>1.3375000000000001</v>
          </cell>
          <cell r="BH36">
            <v>10.700000000000001</v>
          </cell>
          <cell r="BI36">
            <v>0.30599999999999999</v>
          </cell>
          <cell r="BJ36">
            <v>0</v>
          </cell>
          <cell r="BK36" t="str">
            <v>N203460G</v>
          </cell>
          <cell r="BL36">
            <v>111</v>
          </cell>
          <cell r="BP36" t="str">
            <v/>
          </cell>
          <cell r="BQ36">
            <v>1.3</v>
          </cell>
          <cell r="BR36">
            <v>10.4</v>
          </cell>
          <cell r="BS36">
            <v>0.1</v>
          </cell>
          <cell r="BT36">
            <v>1</v>
          </cell>
          <cell r="BU36" t="str">
            <v>RJ03S10G</v>
          </cell>
          <cell r="BV36">
            <v>623</v>
          </cell>
          <cell r="BZ36" t="str">
            <v/>
          </cell>
          <cell r="CA36">
            <v>1.3125</v>
          </cell>
          <cell r="CB36">
            <v>10.5</v>
          </cell>
          <cell r="CC36">
            <v>0.158</v>
          </cell>
          <cell r="CD36">
            <v>3</v>
          </cell>
        </row>
        <row r="37">
          <cell r="B37" t="str">
            <v xml:space="preserve">Maminta, Gilbert Jay </v>
          </cell>
          <cell r="C37" t="str">
            <v>RJ80Z40G</v>
          </cell>
          <cell r="D37">
            <v>727</v>
          </cell>
          <cell r="E37">
            <v>1</v>
          </cell>
          <cell r="F37">
            <v>15</v>
          </cell>
          <cell r="G37">
            <v>14</v>
          </cell>
          <cell r="H37">
            <v>30</v>
          </cell>
          <cell r="I37">
            <v>1.925</v>
          </cell>
          <cell r="J37">
            <v>15.4</v>
          </cell>
          <cell r="K37">
            <v>0.185</v>
          </cell>
          <cell r="L37">
            <v>5</v>
          </cell>
          <cell r="M37" t="str">
            <v>RJ05670G</v>
          </cell>
          <cell r="N37">
            <v>653</v>
          </cell>
          <cell r="O37">
            <v>1</v>
          </cell>
          <cell r="P37">
            <v>6.5</v>
          </cell>
          <cell r="Q37">
            <v>11</v>
          </cell>
          <cell r="R37">
            <v>18.5</v>
          </cell>
          <cell r="S37">
            <v>1.925</v>
          </cell>
          <cell r="T37">
            <v>15.4</v>
          </cell>
          <cell r="U37">
            <v>9.5000000000000001E-2</v>
          </cell>
          <cell r="V37">
            <v>1</v>
          </cell>
          <cell r="W37" t="str">
            <v>N203R20G</v>
          </cell>
          <cell r="X37">
            <v>218</v>
          </cell>
          <cell r="Y37">
            <v>1</v>
          </cell>
          <cell r="Z37">
            <v>11</v>
          </cell>
          <cell r="AA37">
            <v>12</v>
          </cell>
          <cell r="AB37">
            <v>24</v>
          </cell>
          <cell r="AC37">
            <v>2.9000000000000004</v>
          </cell>
          <cell r="AD37">
            <v>23.200000000000003</v>
          </cell>
          <cell r="AE37">
            <v>6.2069999999999999</v>
          </cell>
          <cell r="AF37">
            <v>0</v>
          </cell>
          <cell r="AG37" t="str">
            <v>N203R21G</v>
          </cell>
          <cell r="AH37">
            <v>219</v>
          </cell>
          <cell r="AI37">
            <v>1</v>
          </cell>
          <cell r="AJ37">
            <v>12</v>
          </cell>
          <cell r="AK37">
            <v>11</v>
          </cell>
          <cell r="AL37">
            <v>24</v>
          </cell>
          <cell r="AM37">
            <v>2.2749999999999999</v>
          </cell>
          <cell r="AN37">
            <v>18.2</v>
          </cell>
          <cell r="AO37">
            <v>3.5880000000000001</v>
          </cell>
          <cell r="AP37">
            <v>0</v>
          </cell>
          <cell r="AQ37" t="str">
            <v>RJ07Z40G</v>
          </cell>
          <cell r="AR37">
            <v>726</v>
          </cell>
          <cell r="AS37">
            <v>1</v>
          </cell>
          <cell r="AT37">
            <v>11</v>
          </cell>
          <cell r="AU37">
            <v>14</v>
          </cell>
          <cell r="AV37">
            <v>26</v>
          </cell>
          <cell r="AW37">
            <v>1.3125</v>
          </cell>
          <cell r="AX37">
            <v>10.5</v>
          </cell>
          <cell r="AY37">
            <v>0.124</v>
          </cell>
          <cell r="AZ37">
            <v>2</v>
          </cell>
          <cell r="BA37" t="str">
            <v>N202N10G</v>
          </cell>
          <cell r="BB37">
            <v>62</v>
          </cell>
          <cell r="BC37">
            <v>1</v>
          </cell>
          <cell r="BD37">
            <v>12</v>
          </cell>
          <cell r="BE37">
            <v>15</v>
          </cell>
          <cell r="BF37">
            <v>28</v>
          </cell>
          <cell r="BG37">
            <v>2.875</v>
          </cell>
          <cell r="BH37">
            <v>23</v>
          </cell>
          <cell r="BI37">
            <v>1.319</v>
          </cell>
          <cell r="BJ37">
            <v>0</v>
          </cell>
          <cell r="BK37" t="str">
            <v>RJ03800G</v>
          </cell>
          <cell r="BL37">
            <v>604</v>
          </cell>
          <cell r="BP37" t="str">
            <v/>
          </cell>
          <cell r="BQ37">
            <v>1.9375</v>
          </cell>
          <cell r="BR37">
            <v>15.5</v>
          </cell>
          <cell r="BS37">
            <v>0.12</v>
          </cell>
          <cell r="BT37">
            <v>1</v>
          </cell>
          <cell r="BU37" t="str">
            <v>N202N80G</v>
          </cell>
          <cell r="BV37">
            <v>63</v>
          </cell>
          <cell r="BZ37" t="str">
            <v/>
          </cell>
          <cell r="CA37">
            <v>1.3375000000000001</v>
          </cell>
          <cell r="CB37">
            <v>10.700000000000001</v>
          </cell>
          <cell r="CC37">
            <v>0.51300000000000001</v>
          </cell>
          <cell r="CD37">
            <v>4</v>
          </cell>
        </row>
        <row r="38">
          <cell r="B38" t="str">
            <v>Mapalad, Vincent</v>
          </cell>
          <cell r="C38" t="str">
            <v>RJ83320G</v>
          </cell>
          <cell r="D38">
            <v>757</v>
          </cell>
          <cell r="E38">
            <v>0.5</v>
          </cell>
          <cell r="F38">
            <v>21</v>
          </cell>
          <cell r="G38">
            <v>5</v>
          </cell>
          <cell r="H38">
            <v>26.5</v>
          </cell>
          <cell r="I38">
            <v>1.9375</v>
          </cell>
          <cell r="J38">
            <v>15.5</v>
          </cell>
          <cell r="K38">
            <v>0.157</v>
          </cell>
          <cell r="L38">
            <v>3</v>
          </cell>
          <cell r="M38" t="str">
            <v>N203R50G</v>
          </cell>
          <cell r="N38">
            <v>221</v>
          </cell>
          <cell r="O38">
            <v>0.5</v>
          </cell>
          <cell r="P38">
            <v>12</v>
          </cell>
          <cell r="Q38">
            <v>5</v>
          </cell>
          <cell r="R38">
            <v>17.5</v>
          </cell>
          <cell r="S38">
            <v>2.8250000000000002</v>
          </cell>
          <cell r="T38">
            <v>22.6</v>
          </cell>
          <cell r="U38">
            <v>0.53500000000000003</v>
          </cell>
          <cell r="V38">
            <v>3</v>
          </cell>
          <cell r="W38" t="str">
            <v>N203R51G</v>
          </cell>
          <cell r="X38">
            <v>222</v>
          </cell>
          <cell r="Y38">
            <v>0.5</v>
          </cell>
          <cell r="Z38">
            <v>7</v>
          </cell>
          <cell r="AA38">
            <v>6</v>
          </cell>
          <cell r="AB38">
            <v>13.5</v>
          </cell>
          <cell r="AC38">
            <v>1.95</v>
          </cell>
          <cell r="AD38">
            <v>15.6</v>
          </cell>
          <cell r="AE38">
            <v>0.45100000000000001</v>
          </cell>
          <cell r="AF38">
            <v>5</v>
          </cell>
          <cell r="AG38" t="str">
            <v>RJ05210G</v>
          </cell>
          <cell r="AH38">
            <v>643</v>
          </cell>
          <cell r="AI38">
            <v>0.5</v>
          </cell>
          <cell r="AJ38">
            <v>14</v>
          </cell>
          <cell r="AK38">
            <v>13</v>
          </cell>
          <cell r="AL38">
            <v>27.5</v>
          </cell>
          <cell r="AM38">
            <v>2.8625000000000003</v>
          </cell>
          <cell r="AN38">
            <v>22.900000000000002</v>
          </cell>
          <cell r="AO38">
            <v>4.992</v>
          </cell>
          <cell r="AP38">
            <v>4</v>
          </cell>
          <cell r="AQ38" t="str">
            <v>RJ05211G</v>
          </cell>
          <cell r="AR38">
            <v>644</v>
          </cell>
          <cell r="AS38">
            <v>0.5</v>
          </cell>
          <cell r="AT38">
            <v>16.5</v>
          </cell>
          <cell r="AU38">
            <v>13</v>
          </cell>
          <cell r="AV38">
            <v>30</v>
          </cell>
          <cell r="AW38">
            <v>5.2250000000000005</v>
          </cell>
          <cell r="AX38">
            <v>41.800000000000004</v>
          </cell>
          <cell r="AY38">
            <v>4.6580000000000004</v>
          </cell>
          <cell r="AZ38">
            <v>3</v>
          </cell>
          <cell r="BA38" t="str">
            <v>RJ03Z90G</v>
          </cell>
          <cell r="BB38">
            <v>628</v>
          </cell>
          <cell r="BC38" t="str">
            <v/>
          </cell>
          <cell r="BD38" t="str">
            <v/>
          </cell>
          <cell r="BE38" t="str">
            <v/>
          </cell>
          <cell r="BF38" t="str">
            <v/>
          </cell>
          <cell r="BG38">
            <v>1.3</v>
          </cell>
          <cell r="BH38">
            <v>10.4</v>
          </cell>
          <cell r="BI38" t="str">
            <v/>
          </cell>
          <cell r="BJ38">
            <v>1</v>
          </cell>
          <cell r="BK38">
            <v>0</v>
          </cell>
          <cell r="BL38" t="str">
            <v>#NA</v>
          </cell>
          <cell r="BP38" t="str">
            <v/>
          </cell>
          <cell r="BS38" t="e">
            <v>#VALUE!</v>
          </cell>
          <cell r="BT38" t="e">
            <v>#VALUE!</v>
          </cell>
          <cell r="BU38">
            <v>0</v>
          </cell>
          <cell r="BV38" t="str">
            <v>#NA</v>
          </cell>
          <cell r="BZ38" t="str">
            <v/>
          </cell>
          <cell r="CC38" t="e">
            <v>#VALUE!</v>
          </cell>
          <cell r="CD38" t="e">
            <v>#VALUE!</v>
          </cell>
        </row>
        <row r="39">
          <cell r="B39" t="str">
            <v>Marasigan, Jimbo</v>
          </cell>
          <cell r="C39" t="str">
            <v>RJ06170G</v>
          </cell>
          <cell r="D39">
            <v>662</v>
          </cell>
          <cell r="E39">
            <v>1</v>
          </cell>
          <cell r="F39">
            <v>5</v>
          </cell>
          <cell r="G39">
            <v>4</v>
          </cell>
          <cell r="H39">
            <v>10</v>
          </cell>
          <cell r="I39">
            <v>1.3125</v>
          </cell>
          <cell r="J39">
            <v>10.5</v>
          </cell>
          <cell r="K39">
            <v>0.253</v>
          </cell>
          <cell r="L39">
            <v>3</v>
          </cell>
          <cell r="M39" t="str">
            <v>N206700G</v>
          </cell>
          <cell r="N39">
            <v>357</v>
          </cell>
          <cell r="O39">
            <v>1</v>
          </cell>
          <cell r="P39">
            <v>6</v>
          </cell>
          <cell r="Q39">
            <v>9.5</v>
          </cell>
          <cell r="R39">
            <v>16.5</v>
          </cell>
          <cell r="S39">
            <v>2.85</v>
          </cell>
          <cell r="T39">
            <v>22.8</v>
          </cell>
          <cell r="U39">
            <v>1.3420000000000001</v>
          </cell>
          <cell r="V39">
            <v>0</v>
          </cell>
          <cell r="W39" t="str">
            <v>N206701G</v>
          </cell>
          <cell r="X39">
            <v>358</v>
          </cell>
          <cell r="Y39">
            <v>1</v>
          </cell>
          <cell r="Z39">
            <v>8</v>
          </cell>
          <cell r="AA39">
            <v>5</v>
          </cell>
          <cell r="AB39">
            <v>14</v>
          </cell>
          <cell r="AC39">
            <v>2.0249999999999999</v>
          </cell>
          <cell r="AD39">
            <v>16.2</v>
          </cell>
          <cell r="AE39">
            <v>0.79400000000000004</v>
          </cell>
          <cell r="AF39">
            <v>5</v>
          </cell>
          <cell r="AG39" t="str">
            <v>N206702G</v>
          </cell>
          <cell r="AH39">
            <v>359</v>
          </cell>
          <cell r="AI39">
            <v>1</v>
          </cell>
          <cell r="AJ39">
            <v>5</v>
          </cell>
          <cell r="AK39">
            <v>7</v>
          </cell>
          <cell r="AL39">
            <v>13</v>
          </cell>
          <cell r="AM39">
            <v>2.9250000000000003</v>
          </cell>
          <cell r="AN39">
            <v>23.400000000000002</v>
          </cell>
          <cell r="AO39">
            <v>1.589</v>
          </cell>
          <cell r="AP39">
            <v>1</v>
          </cell>
          <cell r="AQ39" t="str">
            <v>RJ04130G</v>
          </cell>
          <cell r="AR39">
            <v>634</v>
          </cell>
          <cell r="AS39">
            <v>1</v>
          </cell>
          <cell r="AT39">
            <v>5</v>
          </cell>
          <cell r="AU39">
            <v>3</v>
          </cell>
          <cell r="AV39">
            <v>9</v>
          </cell>
          <cell r="AW39">
            <v>1.9375</v>
          </cell>
          <cell r="AX39">
            <v>15.5</v>
          </cell>
          <cell r="AY39">
            <v>0.15</v>
          </cell>
          <cell r="AZ39">
            <v>1</v>
          </cell>
          <cell r="BA39" t="str">
            <v>N204450G</v>
          </cell>
          <cell r="BB39">
            <v>296</v>
          </cell>
          <cell r="BC39">
            <v>1</v>
          </cell>
          <cell r="BD39">
            <v>6</v>
          </cell>
          <cell r="BE39">
            <v>4</v>
          </cell>
          <cell r="BF39">
            <v>11</v>
          </cell>
          <cell r="BG39">
            <v>1.9375</v>
          </cell>
          <cell r="BH39">
            <v>15.5</v>
          </cell>
          <cell r="BI39">
            <v>0.13300000000000001</v>
          </cell>
          <cell r="BJ39">
            <v>5</v>
          </cell>
          <cell r="BK39" t="str">
            <v>RJ038F0G</v>
          </cell>
          <cell r="BL39">
            <v>633</v>
          </cell>
          <cell r="BP39" t="str">
            <v/>
          </cell>
          <cell r="BQ39">
            <v>1.925</v>
          </cell>
          <cell r="BR39">
            <v>15.4</v>
          </cell>
          <cell r="BS39">
            <v>0.14499999999999999</v>
          </cell>
          <cell r="BT39">
            <v>0</v>
          </cell>
          <cell r="BU39">
            <v>0</v>
          </cell>
          <cell r="BV39" t="str">
            <v>#NA</v>
          </cell>
          <cell r="BZ39" t="str">
            <v/>
          </cell>
          <cell r="CC39" t="e">
            <v>#VALUE!</v>
          </cell>
          <cell r="CD39" t="e">
            <v>#VALUE!</v>
          </cell>
        </row>
        <row r="40">
          <cell r="B40" t="str">
            <v>Natad, Jennilyn</v>
          </cell>
          <cell r="C40" t="str">
            <v>RJ06140G</v>
          </cell>
          <cell r="D40">
            <v>660</v>
          </cell>
          <cell r="E40">
            <v>1</v>
          </cell>
          <cell r="F40">
            <v>8</v>
          </cell>
          <cell r="G40">
            <v>8</v>
          </cell>
          <cell r="H40">
            <v>17</v>
          </cell>
          <cell r="I40">
            <v>1.325</v>
          </cell>
          <cell r="J40">
            <v>10.6</v>
          </cell>
          <cell r="K40">
            <v>0.22900000000000001</v>
          </cell>
          <cell r="L40">
            <v>1</v>
          </cell>
          <cell r="M40" t="str">
            <v>N204800G</v>
          </cell>
          <cell r="N40">
            <v>303</v>
          </cell>
          <cell r="O40">
            <v>1</v>
          </cell>
          <cell r="P40">
            <v>16</v>
          </cell>
          <cell r="Q40">
            <v>16</v>
          </cell>
          <cell r="R40">
            <v>33</v>
          </cell>
          <cell r="S40">
            <v>2.85</v>
          </cell>
          <cell r="T40">
            <v>22.8</v>
          </cell>
          <cell r="U40">
            <v>0.97599999999999998</v>
          </cell>
          <cell r="V40">
            <v>0</v>
          </cell>
          <cell r="W40" t="str">
            <v>N204801G</v>
          </cell>
          <cell r="X40">
            <v>304</v>
          </cell>
          <cell r="Y40">
            <v>1</v>
          </cell>
          <cell r="Z40">
            <v>18</v>
          </cell>
          <cell r="AA40">
            <v>16</v>
          </cell>
          <cell r="AB40">
            <v>35</v>
          </cell>
          <cell r="AC40">
            <v>2.0125000000000002</v>
          </cell>
          <cell r="AD40">
            <v>16.100000000000001</v>
          </cell>
          <cell r="AE40">
            <v>0.67200000000000004</v>
          </cell>
          <cell r="AF40">
            <v>4</v>
          </cell>
          <cell r="AG40" t="str">
            <v>N204802G</v>
          </cell>
          <cell r="AH40">
            <v>305</v>
          </cell>
          <cell r="AI40">
            <v>1.5</v>
          </cell>
          <cell r="AJ40">
            <v>18</v>
          </cell>
          <cell r="AK40">
            <v>16</v>
          </cell>
          <cell r="AL40">
            <v>35.5</v>
          </cell>
          <cell r="AM40">
            <v>2.85</v>
          </cell>
          <cell r="AN40">
            <v>22.8</v>
          </cell>
          <cell r="AO40">
            <v>1.1180000000000001</v>
          </cell>
          <cell r="AP40">
            <v>1</v>
          </cell>
          <cell r="AQ40" t="str">
            <v>N206730G</v>
          </cell>
          <cell r="AR40">
            <v>362</v>
          </cell>
          <cell r="AS40">
            <v>0.5</v>
          </cell>
          <cell r="AT40">
            <v>8</v>
          </cell>
          <cell r="AU40">
            <v>7.5</v>
          </cell>
          <cell r="AV40">
            <v>16</v>
          </cell>
          <cell r="AW40">
            <v>1.7</v>
          </cell>
          <cell r="AX40">
            <v>13.6</v>
          </cell>
          <cell r="AY40">
            <v>0.25700000000000001</v>
          </cell>
          <cell r="AZ40">
            <v>0</v>
          </cell>
          <cell r="BA40" t="str">
            <v>N207010G</v>
          </cell>
          <cell r="BB40">
            <v>364</v>
          </cell>
          <cell r="BC40">
            <v>0.5</v>
          </cell>
          <cell r="BD40">
            <v>6.5</v>
          </cell>
          <cell r="BE40">
            <v>7</v>
          </cell>
          <cell r="BF40">
            <v>14</v>
          </cell>
          <cell r="BG40">
            <v>1.325</v>
          </cell>
          <cell r="BH40">
            <v>10.6</v>
          </cell>
          <cell r="BI40">
            <v>0.315</v>
          </cell>
          <cell r="BJ40">
            <v>0</v>
          </cell>
          <cell r="BK40" t="str">
            <v>N202NF0G</v>
          </cell>
          <cell r="BL40">
            <v>67</v>
          </cell>
          <cell r="BP40" t="str">
            <v/>
          </cell>
          <cell r="BQ40">
            <v>1.3375000000000001</v>
          </cell>
          <cell r="BR40">
            <v>10.700000000000001</v>
          </cell>
          <cell r="BS40">
            <v>0.496</v>
          </cell>
          <cell r="BT40">
            <v>2</v>
          </cell>
          <cell r="BU40">
            <v>0</v>
          </cell>
          <cell r="BV40" t="str">
            <v>#NA</v>
          </cell>
          <cell r="BZ40" t="str">
            <v/>
          </cell>
          <cell r="CC40" t="e">
            <v>#VALUE!</v>
          </cell>
          <cell r="CD40" t="e">
            <v>#VALUE!</v>
          </cell>
        </row>
        <row r="41">
          <cell r="B41" t="str">
            <v>Sheila Catoy</v>
          </cell>
          <cell r="C41" t="str">
            <v>RJ05120G</v>
          </cell>
          <cell r="D41">
            <v>637</v>
          </cell>
          <cell r="E41">
            <v>2</v>
          </cell>
          <cell r="F41">
            <v>8</v>
          </cell>
          <cell r="G41">
            <v>10</v>
          </cell>
          <cell r="H41">
            <v>20</v>
          </cell>
          <cell r="I41">
            <v>1.3</v>
          </cell>
          <cell r="J41">
            <v>10.4</v>
          </cell>
          <cell r="K41">
            <v>0.08</v>
          </cell>
          <cell r="L41">
            <v>1</v>
          </cell>
          <cell r="M41" t="str">
            <v>RJ12040G</v>
          </cell>
          <cell r="N41">
            <v>701</v>
          </cell>
          <cell r="O41">
            <v>2</v>
          </cell>
          <cell r="P41">
            <v>10.5</v>
          </cell>
          <cell r="Q41">
            <v>8.5</v>
          </cell>
          <cell r="R41">
            <v>21</v>
          </cell>
          <cell r="S41">
            <v>1.3375000000000001</v>
          </cell>
          <cell r="T41">
            <v>10.700000000000001</v>
          </cell>
          <cell r="U41">
            <v>0.28199999999999997</v>
          </cell>
          <cell r="V41">
            <v>0</v>
          </cell>
          <cell r="W41" t="str">
            <v>N203P90G</v>
          </cell>
          <cell r="X41">
            <v>204</v>
          </cell>
          <cell r="Y41">
            <v>2.5</v>
          </cell>
          <cell r="Z41">
            <v>17</v>
          </cell>
          <cell r="AA41">
            <v>14.5</v>
          </cell>
          <cell r="AB41">
            <v>34</v>
          </cell>
          <cell r="AC41">
            <v>2.8375000000000004</v>
          </cell>
          <cell r="AD41">
            <v>22.700000000000003</v>
          </cell>
          <cell r="AE41">
            <v>0.64900000000000002</v>
          </cell>
          <cell r="AF41">
            <v>0</v>
          </cell>
          <cell r="AG41" t="str">
            <v>N206110G</v>
          </cell>
          <cell r="AH41">
            <v>335</v>
          </cell>
          <cell r="AI41">
            <v>1</v>
          </cell>
          <cell r="AJ41">
            <v>21</v>
          </cell>
          <cell r="AK41">
            <v>8</v>
          </cell>
          <cell r="AL41">
            <v>30</v>
          </cell>
          <cell r="AM41">
            <v>6.65</v>
          </cell>
          <cell r="AN41">
            <v>53.2</v>
          </cell>
          <cell r="AO41">
            <v>3</v>
          </cell>
          <cell r="AP41">
            <v>1</v>
          </cell>
          <cell r="AQ41" t="str">
            <v>N203C80G</v>
          </cell>
          <cell r="AR41">
            <v>168</v>
          </cell>
          <cell r="AS41">
            <v>1</v>
          </cell>
          <cell r="AT41">
            <v>5</v>
          </cell>
          <cell r="AU41">
            <v>2</v>
          </cell>
          <cell r="AV41">
            <v>8</v>
          </cell>
          <cell r="AW41">
            <v>1.3</v>
          </cell>
          <cell r="AX41">
            <v>10.4</v>
          </cell>
          <cell r="AY41">
            <v>5.3999999999999999E-2</v>
          </cell>
          <cell r="AZ41">
            <v>1</v>
          </cell>
          <cell r="BA41" t="str">
            <v>N209080G</v>
          </cell>
          <cell r="BB41">
            <v>401</v>
          </cell>
          <cell r="BC41" t="str">
            <v/>
          </cell>
          <cell r="BD41" t="str">
            <v/>
          </cell>
          <cell r="BE41" t="str">
            <v/>
          </cell>
          <cell r="BF41" t="str">
            <v/>
          </cell>
          <cell r="BG41">
            <v>1.325</v>
          </cell>
          <cell r="BH41">
            <v>10.6</v>
          </cell>
          <cell r="BI41" t="str">
            <v/>
          </cell>
          <cell r="BJ41" t="str">
            <v/>
          </cell>
          <cell r="BK41" t="str">
            <v>N203D80G</v>
          </cell>
          <cell r="BL41">
            <v>175</v>
          </cell>
          <cell r="BM41">
            <v>2</v>
          </cell>
          <cell r="BN41">
            <v>5</v>
          </cell>
          <cell r="BO41">
            <v>5</v>
          </cell>
          <cell r="BP41">
            <v>12</v>
          </cell>
          <cell r="BQ41">
            <v>1.3375000000000001</v>
          </cell>
          <cell r="BR41">
            <v>10.700000000000001</v>
          </cell>
          <cell r="BS41">
            <v>0.32700000000000001</v>
          </cell>
          <cell r="BT41" t="str">
            <v/>
          </cell>
          <cell r="BU41" t="str">
            <v>N203D80G</v>
          </cell>
          <cell r="BV41">
            <v>175</v>
          </cell>
          <cell r="BW41">
            <v>2</v>
          </cell>
          <cell r="BX41">
            <v>5</v>
          </cell>
          <cell r="BY41">
            <v>5</v>
          </cell>
          <cell r="BZ41">
            <v>12</v>
          </cell>
          <cell r="CA41">
            <v>1.3375000000000001</v>
          </cell>
          <cell r="CB41">
            <v>10.700000000000001</v>
          </cell>
          <cell r="CC41">
            <v>0.32700000000000001</v>
          </cell>
          <cell r="CD41" t="str">
            <v/>
          </cell>
        </row>
        <row r="42">
          <cell r="B42" t="str">
            <v>Charles Dalisay</v>
          </cell>
          <cell r="C42" t="str">
            <v>RJ05130G</v>
          </cell>
          <cell r="D42">
            <v>638</v>
          </cell>
          <cell r="E42">
            <v>2</v>
          </cell>
          <cell r="F42">
            <v>4</v>
          </cell>
          <cell r="G42">
            <v>4</v>
          </cell>
          <cell r="H42">
            <v>10</v>
          </cell>
          <cell r="I42">
            <v>1.3</v>
          </cell>
          <cell r="J42">
            <v>10.4</v>
          </cell>
          <cell r="K42">
            <v>6.9000000000000006E-2</v>
          </cell>
          <cell r="L42">
            <v>0</v>
          </cell>
          <cell r="M42" t="str">
            <v>N203PK0G</v>
          </cell>
          <cell r="N42">
            <v>209</v>
          </cell>
          <cell r="O42">
            <v>3</v>
          </cell>
          <cell r="P42">
            <v>16</v>
          </cell>
          <cell r="Q42">
            <v>4</v>
          </cell>
          <cell r="R42">
            <v>23</v>
          </cell>
          <cell r="S42">
            <v>2.85</v>
          </cell>
          <cell r="T42">
            <v>22.8</v>
          </cell>
          <cell r="U42">
            <v>1.004</v>
          </cell>
          <cell r="V42">
            <v>1</v>
          </cell>
          <cell r="W42" t="str">
            <v>N203PK1G</v>
          </cell>
          <cell r="X42">
            <v>210</v>
          </cell>
          <cell r="Y42">
            <v>3</v>
          </cell>
          <cell r="Z42">
            <v>16</v>
          </cell>
          <cell r="AA42">
            <v>10</v>
          </cell>
          <cell r="AB42">
            <v>29</v>
          </cell>
          <cell r="AC42">
            <v>2.2874999999999996</v>
          </cell>
          <cell r="AD42">
            <v>18.299999999999997</v>
          </cell>
          <cell r="AE42">
            <v>4.4320000000000004</v>
          </cell>
          <cell r="AF42">
            <v>2</v>
          </cell>
          <cell r="AG42" t="str">
            <v>RJ03430G</v>
          </cell>
          <cell r="AH42">
            <v>575</v>
          </cell>
          <cell r="AI42">
            <v>2</v>
          </cell>
          <cell r="AJ42">
            <v>4</v>
          </cell>
          <cell r="AK42">
            <v>4</v>
          </cell>
          <cell r="AL42">
            <v>10</v>
          </cell>
          <cell r="AM42">
            <v>1.3125</v>
          </cell>
          <cell r="AN42">
            <v>10.5</v>
          </cell>
          <cell r="AO42">
            <v>0.16800000000000001</v>
          </cell>
          <cell r="AP42">
            <v>2</v>
          </cell>
          <cell r="AQ42" t="str">
            <v>RJ03440G</v>
          </cell>
          <cell r="AR42">
            <v>576</v>
          </cell>
          <cell r="AS42">
            <v>2</v>
          </cell>
          <cell r="AT42">
            <v>4</v>
          </cell>
          <cell r="AU42">
            <v>4</v>
          </cell>
          <cell r="AV42">
            <v>10</v>
          </cell>
          <cell r="AW42">
            <v>1.3125</v>
          </cell>
          <cell r="AX42">
            <v>10.5</v>
          </cell>
          <cell r="AY42">
            <v>0.13300000000000001</v>
          </cell>
          <cell r="AZ42">
            <v>2</v>
          </cell>
          <cell r="BA42" t="str">
            <v>N202D90G</v>
          </cell>
          <cell r="BB42">
            <v>50</v>
          </cell>
          <cell r="BC42">
            <v>1.5</v>
          </cell>
          <cell r="BD42">
            <v>4</v>
          </cell>
          <cell r="BE42">
            <v>2</v>
          </cell>
          <cell r="BF42">
            <v>7.5</v>
          </cell>
          <cell r="BG42">
            <v>1.3125</v>
          </cell>
          <cell r="BH42">
            <v>10.5</v>
          </cell>
          <cell r="BI42">
            <v>0.11700000000000001</v>
          </cell>
          <cell r="BJ42">
            <v>0</v>
          </cell>
          <cell r="BK42" t="str">
            <v>N209100G</v>
          </cell>
          <cell r="BL42">
            <v>402</v>
          </cell>
          <cell r="BM42">
            <v>1.5</v>
          </cell>
          <cell r="BN42">
            <v>4</v>
          </cell>
          <cell r="BO42">
            <v>1</v>
          </cell>
          <cell r="BP42">
            <v>6.5</v>
          </cell>
          <cell r="BQ42">
            <v>1.325</v>
          </cell>
          <cell r="BR42">
            <v>10.6</v>
          </cell>
          <cell r="BS42">
            <v>0.17899999999999999</v>
          </cell>
          <cell r="BT42">
            <v>1</v>
          </cell>
          <cell r="BU42" t="str">
            <v>N203D90G</v>
          </cell>
          <cell r="BV42">
            <v>176</v>
          </cell>
          <cell r="BW42">
            <v>1.5</v>
          </cell>
          <cell r="BX42">
            <v>4</v>
          </cell>
          <cell r="BY42">
            <v>3</v>
          </cell>
          <cell r="BZ42">
            <v>8.5</v>
          </cell>
          <cell r="CA42">
            <v>1.9375</v>
          </cell>
          <cell r="CB42">
            <v>15.5</v>
          </cell>
          <cell r="CC42">
            <v>0.499</v>
          </cell>
          <cell r="CD42">
            <v>1</v>
          </cell>
        </row>
        <row r="43">
          <cell r="B43" t="str">
            <v>Anna Marie Catalma</v>
          </cell>
          <cell r="C43" t="str">
            <v>RJJ1070G</v>
          </cell>
          <cell r="D43">
            <v>778</v>
          </cell>
          <cell r="E43">
            <v>4</v>
          </cell>
          <cell r="F43">
            <v>17</v>
          </cell>
          <cell r="G43">
            <v>24</v>
          </cell>
          <cell r="H43">
            <v>45</v>
          </cell>
          <cell r="I43">
            <v>2.85</v>
          </cell>
          <cell r="J43">
            <v>22.8</v>
          </cell>
          <cell r="K43">
            <v>0.128</v>
          </cell>
          <cell r="L43">
            <v>5</v>
          </cell>
          <cell r="M43" t="str">
            <v>RJ06510G</v>
          </cell>
          <cell r="N43">
            <v>666</v>
          </cell>
          <cell r="O43">
            <v>2</v>
          </cell>
          <cell r="P43">
            <v>13</v>
          </cell>
          <cell r="Q43">
            <v>12</v>
          </cell>
          <cell r="R43">
            <v>27</v>
          </cell>
          <cell r="S43">
            <v>1.3125</v>
          </cell>
          <cell r="T43">
            <v>10.5</v>
          </cell>
          <cell r="U43" t="str">
            <v/>
          </cell>
          <cell r="V43">
            <v>5</v>
          </cell>
          <cell r="W43" t="str">
            <v>N203060G</v>
          </cell>
          <cell r="X43">
            <v>84</v>
          </cell>
          <cell r="Y43">
            <v>4</v>
          </cell>
          <cell r="Z43">
            <v>10.5</v>
          </cell>
          <cell r="AA43">
            <v>24</v>
          </cell>
          <cell r="AB43">
            <v>38.5</v>
          </cell>
          <cell r="AC43">
            <v>2.8375000000000004</v>
          </cell>
          <cell r="AD43">
            <v>22.700000000000003</v>
          </cell>
          <cell r="AE43">
            <v>0.2</v>
          </cell>
          <cell r="AF43">
            <v>0</v>
          </cell>
          <cell r="AG43" t="str">
            <v>N203061G</v>
          </cell>
          <cell r="AH43">
            <v>85</v>
          </cell>
          <cell r="AI43">
            <v>2</v>
          </cell>
          <cell r="AJ43">
            <v>15</v>
          </cell>
          <cell r="AK43">
            <v>24</v>
          </cell>
          <cell r="AL43">
            <v>41</v>
          </cell>
          <cell r="AM43">
            <v>1.9625000000000001</v>
          </cell>
          <cell r="AN43">
            <v>15.700000000000001</v>
          </cell>
          <cell r="AO43" t="str">
            <v/>
          </cell>
          <cell r="AP43">
            <v>0</v>
          </cell>
          <cell r="AQ43" t="str">
            <v>N209020G</v>
          </cell>
          <cell r="AR43">
            <v>396</v>
          </cell>
          <cell r="AS43">
            <v>9</v>
          </cell>
          <cell r="AT43">
            <v>18</v>
          </cell>
          <cell r="AU43">
            <v>6</v>
          </cell>
          <cell r="AV43">
            <v>33</v>
          </cell>
          <cell r="AW43">
            <v>2.2375000000000003</v>
          </cell>
          <cell r="AX43">
            <v>17.900000000000002</v>
          </cell>
          <cell r="AY43">
            <v>0.19400000000000001</v>
          </cell>
          <cell r="AZ43">
            <v>8</v>
          </cell>
          <cell r="BA43" t="str">
            <v>N209050G</v>
          </cell>
          <cell r="BB43">
            <v>399</v>
          </cell>
          <cell r="BC43">
            <v>3</v>
          </cell>
          <cell r="BD43" t="str">
            <v/>
          </cell>
          <cell r="BE43">
            <v>14</v>
          </cell>
          <cell r="BF43">
            <v>17</v>
          </cell>
          <cell r="BG43">
            <v>2.85</v>
          </cell>
          <cell r="BH43">
            <v>22.8</v>
          </cell>
          <cell r="BI43" t="str">
            <v/>
          </cell>
          <cell r="BJ43" t="str">
            <v/>
          </cell>
          <cell r="BK43" t="str">
            <v>N203480G</v>
          </cell>
          <cell r="BL43">
            <v>113</v>
          </cell>
          <cell r="BM43">
            <v>2</v>
          </cell>
          <cell r="BN43">
            <v>20</v>
          </cell>
          <cell r="BO43">
            <v>16</v>
          </cell>
          <cell r="BP43">
            <v>38</v>
          </cell>
          <cell r="BQ43">
            <v>1.325</v>
          </cell>
          <cell r="BR43">
            <v>10.6</v>
          </cell>
          <cell r="BS43">
            <v>0.3</v>
          </cell>
          <cell r="BT43">
            <v>4</v>
          </cell>
          <cell r="BU43" t="str">
            <v>N203590G</v>
          </cell>
          <cell r="BV43">
            <v>122</v>
          </cell>
          <cell r="BW43">
            <v>0.5</v>
          </cell>
          <cell r="BX43">
            <v>2</v>
          </cell>
          <cell r="BY43">
            <v>1</v>
          </cell>
          <cell r="BZ43">
            <v>3.5</v>
          </cell>
          <cell r="CA43">
            <v>1.325</v>
          </cell>
          <cell r="CB43">
            <v>10.6</v>
          </cell>
          <cell r="CC43">
            <v>0.36699999999999999</v>
          </cell>
          <cell r="CD43" t="str">
            <v/>
          </cell>
        </row>
        <row r="44">
          <cell r="B44" t="str">
            <v>Francis Cholo Manglicmot</v>
          </cell>
          <cell r="C44" t="str">
            <v>RJ02980G</v>
          </cell>
          <cell r="D44">
            <v>549</v>
          </cell>
          <cell r="E44">
            <v>0.5</v>
          </cell>
          <cell r="F44">
            <v>21</v>
          </cell>
          <cell r="G44">
            <v>9.5</v>
          </cell>
          <cell r="H44">
            <v>31</v>
          </cell>
          <cell r="I44">
            <v>1.4125000000000001</v>
          </cell>
          <cell r="J44">
            <v>11.3</v>
          </cell>
          <cell r="K44">
            <v>1.171</v>
          </cell>
          <cell r="L44">
            <v>5</v>
          </cell>
          <cell r="M44" t="str">
            <v>RJ07130G</v>
          </cell>
          <cell r="N44">
            <v>684</v>
          </cell>
          <cell r="O44">
            <v>0.5</v>
          </cell>
          <cell r="P44">
            <v>6</v>
          </cell>
          <cell r="Q44">
            <v>4.5</v>
          </cell>
          <cell r="R44">
            <v>11</v>
          </cell>
          <cell r="S44">
            <v>1.3125</v>
          </cell>
          <cell r="T44">
            <v>10.5</v>
          </cell>
          <cell r="U44">
            <v>0.14399999999999999</v>
          </cell>
          <cell r="V44">
            <v>1</v>
          </cell>
          <cell r="W44" t="str">
            <v>N205420G</v>
          </cell>
          <cell r="X44">
            <v>324</v>
          </cell>
          <cell r="Y44">
            <v>0.5</v>
          </cell>
          <cell r="Z44">
            <v>14.5</v>
          </cell>
          <cell r="AA44">
            <v>8.5</v>
          </cell>
          <cell r="AB44">
            <v>23.5</v>
          </cell>
          <cell r="AC44">
            <v>3.2250000000000001</v>
          </cell>
          <cell r="AD44">
            <v>25.8</v>
          </cell>
          <cell r="AE44">
            <v>0.49399999999999999</v>
          </cell>
          <cell r="AF44">
            <v>0</v>
          </cell>
          <cell r="AG44" t="str">
            <v>N205420G</v>
          </cell>
          <cell r="AH44">
            <v>324</v>
          </cell>
          <cell r="AI44">
            <v>0.5</v>
          </cell>
          <cell r="AJ44">
            <v>14.5</v>
          </cell>
          <cell r="AK44">
            <v>8.5</v>
          </cell>
          <cell r="AL44">
            <v>23.5</v>
          </cell>
          <cell r="AM44">
            <v>3.2250000000000001</v>
          </cell>
          <cell r="AN44">
            <v>25.8</v>
          </cell>
          <cell r="AO44">
            <v>0.49399999999999999</v>
          </cell>
          <cell r="AP44">
            <v>0</v>
          </cell>
          <cell r="AQ44" t="str">
            <v>N2J1080G</v>
          </cell>
          <cell r="AR44">
            <v>504</v>
          </cell>
          <cell r="AS44">
            <v>0.5</v>
          </cell>
          <cell r="AT44">
            <v>4.5</v>
          </cell>
          <cell r="AU44">
            <v>8.5</v>
          </cell>
          <cell r="AV44">
            <v>13.5</v>
          </cell>
          <cell r="AW44">
            <v>1.3125</v>
          </cell>
          <cell r="AX44">
            <v>10.5</v>
          </cell>
          <cell r="AY44">
            <v>0.109</v>
          </cell>
          <cell r="AZ44">
            <v>2</v>
          </cell>
          <cell r="BA44" t="str">
            <v>N2J1090G</v>
          </cell>
          <cell r="BB44">
            <v>505</v>
          </cell>
          <cell r="BC44">
            <v>0.5</v>
          </cell>
          <cell r="BD44">
            <v>11.5</v>
          </cell>
          <cell r="BE44">
            <v>2</v>
          </cell>
          <cell r="BF44">
            <v>14</v>
          </cell>
          <cell r="BG44">
            <v>1.3</v>
          </cell>
          <cell r="BH44">
            <v>10.4</v>
          </cell>
          <cell r="BI44">
            <v>4.1000000000000002E-2</v>
          </cell>
          <cell r="BJ44">
            <v>2</v>
          </cell>
          <cell r="BK44" t="str">
            <v>RJ12060G</v>
          </cell>
          <cell r="BL44">
            <v>703</v>
          </cell>
          <cell r="BM44">
            <v>0.5</v>
          </cell>
          <cell r="BN44">
            <v>9</v>
          </cell>
          <cell r="BO44" t="str">
            <v/>
          </cell>
          <cell r="BP44">
            <v>9.5</v>
          </cell>
          <cell r="BQ44">
            <v>1.325</v>
          </cell>
          <cell r="BR44">
            <v>10.6</v>
          </cell>
          <cell r="BS44">
            <v>0.22700000000000001</v>
          </cell>
          <cell r="BT44">
            <v>0</v>
          </cell>
          <cell r="BU44" t="str">
            <v>N203881G</v>
          </cell>
          <cell r="BV44">
            <v>138</v>
          </cell>
          <cell r="BW44">
            <v>0.5</v>
          </cell>
          <cell r="BX44">
            <v>16.5</v>
          </cell>
          <cell r="BY44">
            <v>13</v>
          </cell>
          <cell r="BZ44">
            <v>30</v>
          </cell>
          <cell r="CA44">
            <v>4.3000000000000007</v>
          </cell>
          <cell r="CB44">
            <v>34.400000000000006</v>
          </cell>
          <cell r="CC44">
            <v>1.891</v>
          </cell>
          <cell r="CD44">
            <v>7</v>
          </cell>
        </row>
        <row r="45">
          <cell r="B45" t="str">
            <v>David Solomon Trabajo</v>
          </cell>
          <cell r="C45" t="str">
            <v>RJ02380G</v>
          </cell>
          <cell r="D45">
            <v>540</v>
          </cell>
          <cell r="E45">
            <v>0.5</v>
          </cell>
          <cell r="F45">
            <v>7</v>
          </cell>
          <cell r="G45">
            <v>4</v>
          </cell>
          <cell r="H45">
            <v>11.5</v>
          </cell>
          <cell r="I45">
            <v>1.3</v>
          </cell>
          <cell r="J45">
            <v>10.4</v>
          </cell>
          <cell r="K45">
            <v>0.105</v>
          </cell>
          <cell r="L45">
            <v>1</v>
          </cell>
          <cell r="M45" t="str">
            <v>RJ06H50G</v>
          </cell>
          <cell r="N45">
            <v>674</v>
          </cell>
          <cell r="O45">
            <v>0.5</v>
          </cell>
          <cell r="P45">
            <v>9</v>
          </cell>
          <cell r="Q45">
            <v>4</v>
          </cell>
          <cell r="R45">
            <v>13.5</v>
          </cell>
          <cell r="S45">
            <v>1.3125</v>
          </cell>
          <cell r="T45">
            <v>10.5</v>
          </cell>
          <cell r="U45">
            <v>0.124</v>
          </cell>
          <cell r="V45">
            <v>0</v>
          </cell>
          <cell r="W45" t="str">
            <v>N203890G</v>
          </cell>
          <cell r="X45">
            <v>144</v>
          </cell>
          <cell r="Y45">
            <v>0.5</v>
          </cell>
          <cell r="Z45">
            <v>10</v>
          </cell>
          <cell r="AA45">
            <v>8</v>
          </cell>
          <cell r="AB45">
            <v>18.5</v>
          </cell>
          <cell r="AC45">
            <v>2.85</v>
          </cell>
          <cell r="AD45">
            <v>22.8</v>
          </cell>
          <cell r="AE45">
            <v>1.7150000000000001</v>
          </cell>
          <cell r="AF45">
            <v>1</v>
          </cell>
          <cell r="AG45" t="str">
            <v>N203891G</v>
          </cell>
          <cell r="AH45">
            <v>145</v>
          </cell>
          <cell r="AI45">
            <v>0.5</v>
          </cell>
          <cell r="AJ45">
            <v>5</v>
          </cell>
          <cell r="AK45">
            <v>10</v>
          </cell>
          <cell r="AL45">
            <v>15.5</v>
          </cell>
          <cell r="AM45">
            <v>1.95</v>
          </cell>
          <cell r="AN45">
            <v>15.6</v>
          </cell>
          <cell r="AO45">
            <v>0.55900000000000005</v>
          </cell>
          <cell r="AP45">
            <v>7</v>
          </cell>
          <cell r="AQ45" t="str">
            <v>N284640G</v>
          </cell>
          <cell r="AR45">
            <v>491</v>
          </cell>
          <cell r="AS45">
            <v>0.5</v>
          </cell>
          <cell r="AT45">
            <v>8</v>
          </cell>
          <cell r="AU45">
            <v>6</v>
          </cell>
          <cell r="AV45">
            <v>14.5</v>
          </cell>
          <cell r="AW45">
            <v>1.925</v>
          </cell>
          <cell r="AX45">
            <v>15.4</v>
          </cell>
          <cell r="AY45">
            <v>0.215</v>
          </cell>
          <cell r="AZ45">
            <v>5</v>
          </cell>
          <cell r="BA45" t="str">
            <v>N284660G</v>
          </cell>
          <cell r="BB45">
            <v>539</v>
          </cell>
          <cell r="BC45">
            <v>0.5</v>
          </cell>
          <cell r="BD45">
            <v>8</v>
          </cell>
          <cell r="BE45">
            <v>6</v>
          </cell>
          <cell r="BF45">
            <v>14.5</v>
          </cell>
          <cell r="BG45">
            <v>1.925</v>
          </cell>
          <cell r="BH45">
            <v>15.4</v>
          </cell>
          <cell r="BI45">
            <v>0.13</v>
          </cell>
          <cell r="BJ45">
            <v>5</v>
          </cell>
          <cell r="BK45" t="str">
            <v>RJ09030G</v>
          </cell>
          <cell r="BL45">
            <v>696</v>
          </cell>
          <cell r="BM45">
            <v>0.5</v>
          </cell>
          <cell r="BN45">
            <v>8</v>
          </cell>
          <cell r="BO45">
            <v>5</v>
          </cell>
          <cell r="BP45">
            <v>13.5</v>
          </cell>
          <cell r="BQ45">
            <v>1.325</v>
          </cell>
          <cell r="BR45">
            <v>10.6</v>
          </cell>
          <cell r="BS45">
            <v>0.216</v>
          </cell>
          <cell r="BT45">
            <v>0</v>
          </cell>
          <cell r="BU45" t="str">
            <v>N204670G</v>
          </cell>
          <cell r="BV45">
            <v>333</v>
          </cell>
          <cell r="BW45">
            <v>0.5</v>
          </cell>
          <cell r="BX45">
            <v>8</v>
          </cell>
          <cell r="BY45">
            <v>5</v>
          </cell>
          <cell r="BZ45">
            <v>13.5</v>
          </cell>
          <cell r="CA45">
            <v>1.3125</v>
          </cell>
          <cell r="CB45">
            <v>10.5</v>
          </cell>
          <cell r="CC45">
            <v>0.23400000000000001</v>
          </cell>
          <cell r="CD45">
            <v>0</v>
          </cell>
        </row>
        <row r="46">
          <cell r="B46" t="str">
            <v>Jomari Ivan Fajardo</v>
          </cell>
          <cell r="C46" t="str">
            <v>RJ02S10G</v>
          </cell>
          <cell r="D46">
            <v>554</v>
          </cell>
          <cell r="E46">
            <v>1</v>
          </cell>
          <cell r="F46">
            <v>10</v>
          </cell>
          <cell r="G46">
            <v>11</v>
          </cell>
          <cell r="H46">
            <v>22</v>
          </cell>
          <cell r="I46">
            <v>1.925</v>
          </cell>
          <cell r="J46">
            <v>15.4</v>
          </cell>
          <cell r="K46">
            <v>0.11700000000000001</v>
          </cell>
          <cell r="L46">
            <v>1</v>
          </cell>
          <cell r="M46" t="str">
            <v>RJ07280G</v>
          </cell>
          <cell r="N46">
            <v>685</v>
          </cell>
          <cell r="O46">
            <v>1.5</v>
          </cell>
          <cell r="P46">
            <v>8</v>
          </cell>
          <cell r="Q46">
            <v>15</v>
          </cell>
          <cell r="R46">
            <v>24.5</v>
          </cell>
          <cell r="S46">
            <v>1.3375000000000001</v>
          </cell>
          <cell r="T46">
            <v>10.700000000000001</v>
          </cell>
          <cell r="U46">
            <v>0.28599999999999998</v>
          </cell>
          <cell r="V46">
            <v>5</v>
          </cell>
          <cell r="W46" t="str">
            <v>N203C30G</v>
          </cell>
          <cell r="X46">
            <v>156</v>
          </cell>
          <cell r="Y46">
            <v>1</v>
          </cell>
          <cell r="Z46">
            <v>14</v>
          </cell>
          <cell r="AA46">
            <v>15</v>
          </cell>
          <cell r="AB46">
            <v>30</v>
          </cell>
          <cell r="AC46">
            <v>2.8375000000000004</v>
          </cell>
          <cell r="AD46">
            <v>22.700000000000003</v>
          </cell>
          <cell r="AE46">
            <v>0.81499999999999995</v>
          </cell>
          <cell r="AF46">
            <v>3</v>
          </cell>
          <cell r="AG46" t="str">
            <v>N203C31G</v>
          </cell>
          <cell r="AH46">
            <v>157</v>
          </cell>
          <cell r="AI46">
            <v>2</v>
          </cell>
          <cell r="AJ46">
            <v>6</v>
          </cell>
          <cell r="AK46">
            <v>20</v>
          </cell>
          <cell r="AL46">
            <v>28</v>
          </cell>
          <cell r="AM46">
            <v>2.0125000000000002</v>
          </cell>
          <cell r="AN46">
            <v>16.100000000000001</v>
          </cell>
          <cell r="AO46">
            <v>0.623</v>
          </cell>
          <cell r="AP46">
            <v>4</v>
          </cell>
          <cell r="AQ46" t="str">
            <v>N2J1100G</v>
          </cell>
          <cell r="AR46">
            <v>506</v>
          </cell>
          <cell r="AS46">
            <v>1.5</v>
          </cell>
          <cell r="AT46">
            <v>10</v>
          </cell>
          <cell r="AU46">
            <v>16</v>
          </cell>
          <cell r="AV46">
            <v>27.5</v>
          </cell>
          <cell r="AW46">
            <v>1.3125</v>
          </cell>
          <cell r="AX46">
            <v>10.5</v>
          </cell>
          <cell r="AY46">
            <v>0.08</v>
          </cell>
          <cell r="AZ46">
            <v>1</v>
          </cell>
          <cell r="BA46" t="str">
            <v>RJ07Z60G</v>
          </cell>
          <cell r="BB46">
            <v>692</v>
          </cell>
          <cell r="BC46">
            <v>1</v>
          </cell>
          <cell r="BD46">
            <v>10</v>
          </cell>
          <cell r="BE46">
            <v>16</v>
          </cell>
          <cell r="BF46">
            <v>27</v>
          </cell>
          <cell r="BG46">
            <v>1.3125</v>
          </cell>
          <cell r="BH46">
            <v>10.5</v>
          </cell>
          <cell r="BI46">
            <v>0.1</v>
          </cell>
          <cell r="BJ46">
            <v>1</v>
          </cell>
          <cell r="BK46" t="str">
            <v>RJ83400G</v>
          </cell>
          <cell r="BL46">
            <v>761</v>
          </cell>
          <cell r="BM46">
            <v>1</v>
          </cell>
          <cell r="BN46">
            <v>11</v>
          </cell>
          <cell r="BO46">
            <v>15</v>
          </cell>
          <cell r="BP46">
            <v>27</v>
          </cell>
          <cell r="BQ46">
            <v>1.325</v>
          </cell>
          <cell r="BR46">
            <v>10.6</v>
          </cell>
          <cell r="BS46">
            <v>0.2</v>
          </cell>
          <cell r="BT46">
            <v>0</v>
          </cell>
          <cell r="BU46" t="str">
            <v>N207190G</v>
          </cell>
          <cell r="BV46">
            <v>377</v>
          </cell>
          <cell r="BW46">
            <v>1.5</v>
          </cell>
          <cell r="BX46">
            <v>12</v>
          </cell>
          <cell r="BY46">
            <v>16</v>
          </cell>
          <cell r="BZ46">
            <v>29.5</v>
          </cell>
          <cell r="CA46">
            <v>1.3125</v>
          </cell>
          <cell r="CB46">
            <v>10.5</v>
          </cell>
          <cell r="CC46">
            <v>0.13600000000000001</v>
          </cell>
          <cell r="CD46">
            <v>2</v>
          </cell>
        </row>
        <row r="47">
          <cell r="B47" t="str">
            <v>Junar Narisma</v>
          </cell>
          <cell r="C47" t="str">
            <v>N203C70G</v>
          </cell>
          <cell r="D47">
            <v>164</v>
          </cell>
          <cell r="E47">
            <v>1</v>
          </cell>
          <cell r="F47">
            <v>19.5</v>
          </cell>
          <cell r="G47">
            <v>8.5</v>
          </cell>
          <cell r="H47">
            <v>29</v>
          </cell>
          <cell r="I47">
            <v>2.8375000000000004</v>
          </cell>
          <cell r="J47">
            <v>22.700000000000003</v>
          </cell>
          <cell r="K47">
            <v>0.86</v>
          </cell>
          <cell r="L47">
            <v>3</v>
          </cell>
          <cell r="M47" t="str">
            <v>N203C71G</v>
          </cell>
          <cell r="N47">
            <v>165</v>
          </cell>
          <cell r="O47">
            <v>1</v>
          </cell>
          <cell r="P47">
            <v>8</v>
          </cell>
          <cell r="Q47">
            <v>6.5</v>
          </cell>
          <cell r="R47">
            <v>15.5</v>
          </cell>
          <cell r="S47">
            <v>2.0125000000000002</v>
          </cell>
          <cell r="T47">
            <v>16.100000000000001</v>
          </cell>
          <cell r="U47">
            <v>1.0389999999999999</v>
          </cell>
          <cell r="V47">
            <v>4</v>
          </cell>
          <cell r="W47" t="str">
            <v>N203C72G</v>
          </cell>
          <cell r="X47">
            <v>166</v>
          </cell>
          <cell r="Y47">
            <v>1</v>
          </cell>
          <cell r="Z47">
            <v>7</v>
          </cell>
          <cell r="AA47">
            <v>11</v>
          </cell>
          <cell r="AB47">
            <v>19</v>
          </cell>
          <cell r="AC47">
            <v>2.85</v>
          </cell>
          <cell r="AD47">
            <v>22.8</v>
          </cell>
          <cell r="AE47">
            <v>2.2000000000000002</v>
          </cell>
          <cell r="AF47">
            <v>0</v>
          </cell>
          <cell r="AG47" t="str">
            <v>N203C73G</v>
          </cell>
          <cell r="AH47">
            <v>167</v>
          </cell>
          <cell r="AI47">
            <v>1</v>
          </cell>
          <cell r="AJ47">
            <v>8</v>
          </cell>
          <cell r="AK47">
            <v>11</v>
          </cell>
          <cell r="AL47">
            <v>20</v>
          </cell>
          <cell r="AM47">
            <v>2.85</v>
          </cell>
          <cell r="AN47">
            <v>22.8</v>
          </cell>
          <cell r="AO47">
            <v>1.7</v>
          </cell>
          <cell r="AP47">
            <v>0</v>
          </cell>
          <cell r="AQ47" t="str">
            <v>RJ03160G</v>
          </cell>
          <cell r="AR47">
            <v>559</v>
          </cell>
          <cell r="AS47">
            <v>1</v>
          </cell>
          <cell r="AT47">
            <v>4</v>
          </cell>
          <cell r="AU47">
            <v>11.5</v>
          </cell>
          <cell r="AV47">
            <v>16.5</v>
          </cell>
          <cell r="AW47">
            <v>1.325</v>
          </cell>
          <cell r="AX47">
            <v>10.6</v>
          </cell>
          <cell r="AY47">
            <v>0.23599999999999999</v>
          </cell>
          <cell r="AZ47">
            <v>3</v>
          </cell>
          <cell r="BA47" t="str">
            <v>RJ03170G</v>
          </cell>
          <cell r="BB47">
            <v>560</v>
          </cell>
          <cell r="BC47">
            <v>1</v>
          </cell>
          <cell r="BD47">
            <v>8.5</v>
          </cell>
          <cell r="BE47">
            <v>4</v>
          </cell>
          <cell r="BF47">
            <v>13.5</v>
          </cell>
          <cell r="BG47">
            <v>1.3125</v>
          </cell>
          <cell r="BH47">
            <v>10.5</v>
          </cell>
          <cell r="BI47">
            <v>0.19800000000000001</v>
          </cell>
          <cell r="BJ47">
            <v>0</v>
          </cell>
          <cell r="BK47" t="str">
            <v>RJ83410G</v>
          </cell>
          <cell r="BL47">
            <v>762</v>
          </cell>
          <cell r="BM47">
            <v>2</v>
          </cell>
          <cell r="BN47">
            <v>9</v>
          </cell>
          <cell r="BO47">
            <v>5.5</v>
          </cell>
          <cell r="BP47">
            <v>16.5</v>
          </cell>
          <cell r="BQ47">
            <v>1.3</v>
          </cell>
          <cell r="BR47">
            <v>10.4</v>
          </cell>
          <cell r="BS47">
            <v>0.20300000000000001</v>
          </cell>
          <cell r="BT47">
            <v>2</v>
          </cell>
          <cell r="BU47" t="str">
            <v>N207200G</v>
          </cell>
          <cell r="BV47">
            <v>378</v>
          </cell>
          <cell r="BW47">
            <v>1</v>
          </cell>
          <cell r="BX47">
            <v>5</v>
          </cell>
          <cell r="BY47">
            <v>4.5</v>
          </cell>
          <cell r="BZ47">
            <v>10.5</v>
          </cell>
          <cell r="CA47">
            <v>1.3125</v>
          </cell>
          <cell r="CB47">
            <v>10.5</v>
          </cell>
          <cell r="CC47">
            <v>0.112</v>
          </cell>
          <cell r="CD47">
            <v>4</v>
          </cell>
        </row>
        <row r="48">
          <cell r="B48" t="str">
            <v>Raven Atienza</v>
          </cell>
          <cell r="C48" t="str">
            <v>RJJ1080G</v>
          </cell>
          <cell r="D48">
            <v>779</v>
          </cell>
          <cell r="E48">
            <v>7</v>
          </cell>
          <cell r="F48">
            <v>13</v>
          </cell>
          <cell r="G48">
            <v>23</v>
          </cell>
          <cell r="H48">
            <v>43</v>
          </cell>
          <cell r="I48">
            <v>1.3</v>
          </cell>
          <cell r="J48">
            <v>10.4</v>
          </cell>
          <cell r="K48">
            <v>7.9000000000000001E-2</v>
          </cell>
          <cell r="L48">
            <v>3</v>
          </cell>
          <cell r="M48" t="str">
            <v>RJ06560G</v>
          </cell>
          <cell r="N48">
            <v>667</v>
          </cell>
          <cell r="O48">
            <v>1</v>
          </cell>
          <cell r="P48">
            <v>16</v>
          </cell>
          <cell r="Q48" t="str">
            <v/>
          </cell>
          <cell r="R48">
            <v>17</v>
          </cell>
          <cell r="S48">
            <v>1.3125</v>
          </cell>
          <cell r="T48">
            <v>10.5</v>
          </cell>
          <cell r="U48">
            <v>0.109</v>
          </cell>
          <cell r="V48">
            <v>2</v>
          </cell>
          <cell r="W48" t="str">
            <v>N203070G</v>
          </cell>
          <cell r="X48">
            <v>86</v>
          </cell>
          <cell r="Y48">
            <v>9</v>
          </cell>
          <cell r="Z48">
            <v>26</v>
          </cell>
          <cell r="AA48">
            <v>6</v>
          </cell>
          <cell r="AB48">
            <v>41</v>
          </cell>
          <cell r="AC48">
            <v>2.9250000000000003</v>
          </cell>
          <cell r="AD48">
            <v>23.400000000000002</v>
          </cell>
          <cell r="AE48" t="str">
            <v/>
          </cell>
          <cell r="AF48">
            <v>5</v>
          </cell>
          <cell r="AG48" t="str">
            <v>N205040G</v>
          </cell>
          <cell r="AH48">
            <v>314</v>
          </cell>
          <cell r="AI48">
            <v>2</v>
          </cell>
          <cell r="AJ48">
            <v>24</v>
          </cell>
          <cell r="AK48" t="str">
            <v/>
          </cell>
          <cell r="AL48">
            <v>26</v>
          </cell>
          <cell r="AM48">
            <v>2.8625000000000003</v>
          </cell>
          <cell r="AN48">
            <v>22.900000000000002</v>
          </cell>
          <cell r="AO48" t="str">
            <v/>
          </cell>
          <cell r="AP48">
            <v>0</v>
          </cell>
          <cell r="AQ48" t="str">
            <v>N209060G</v>
          </cell>
          <cell r="AR48">
            <v>400</v>
          </cell>
          <cell r="AS48">
            <v>1</v>
          </cell>
          <cell r="AT48">
            <v>20</v>
          </cell>
          <cell r="AU48" t="str">
            <v/>
          </cell>
          <cell r="AV48">
            <v>21</v>
          </cell>
          <cell r="AW48">
            <v>2.85</v>
          </cell>
          <cell r="AX48">
            <v>22.8</v>
          </cell>
          <cell r="AY48" t="str">
            <v/>
          </cell>
          <cell r="AZ48">
            <v>0</v>
          </cell>
          <cell r="BA48" t="str">
            <v>N209110G</v>
          </cell>
          <cell r="BB48">
            <v>403</v>
          </cell>
          <cell r="BC48" t="str">
            <v/>
          </cell>
          <cell r="BD48">
            <v>23</v>
          </cell>
          <cell r="BE48" t="str">
            <v/>
          </cell>
          <cell r="BF48">
            <v>23</v>
          </cell>
          <cell r="BG48">
            <v>2.875</v>
          </cell>
          <cell r="BH48">
            <v>23</v>
          </cell>
          <cell r="BI48" t="str">
            <v/>
          </cell>
          <cell r="BJ48">
            <v>0</v>
          </cell>
          <cell r="BK48" t="str">
            <v>N206570G</v>
          </cell>
          <cell r="BL48" t="str">
            <v>#NA</v>
          </cell>
          <cell r="BP48" t="str">
            <v/>
          </cell>
          <cell r="BS48" t="e">
            <v>#VALUE!</v>
          </cell>
          <cell r="BT48" t="e">
            <v>#VALUE!</v>
          </cell>
          <cell r="BU48" t="str">
            <v>N207300G</v>
          </cell>
          <cell r="BV48">
            <v>386</v>
          </cell>
          <cell r="BW48">
            <v>0.5</v>
          </cell>
          <cell r="BX48">
            <v>8</v>
          </cell>
          <cell r="BY48">
            <v>9</v>
          </cell>
          <cell r="BZ48">
            <v>17.5</v>
          </cell>
          <cell r="CA48">
            <v>1.9375</v>
          </cell>
          <cell r="CB48">
            <v>15.5</v>
          </cell>
          <cell r="CC48">
            <v>0.107</v>
          </cell>
          <cell r="CD48" t="str">
            <v/>
          </cell>
        </row>
        <row r="49">
          <cell r="B49" t="str">
            <v>Clarence Bauzon</v>
          </cell>
          <cell r="C49" t="str">
            <v>RJJ1280G</v>
          </cell>
          <cell r="D49">
            <v>780</v>
          </cell>
          <cell r="E49">
            <v>1</v>
          </cell>
          <cell r="F49">
            <v>14</v>
          </cell>
          <cell r="G49">
            <v>10</v>
          </cell>
          <cell r="H49">
            <v>25</v>
          </cell>
          <cell r="I49">
            <v>1.925</v>
          </cell>
          <cell r="J49">
            <v>15.4</v>
          </cell>
          <cell r="K49">
            <v>0.17899999999999999</v>
          </cell>
          <cell r="L49">
            <v>1</v>
          </cell>
          <cell r="M49" t="str">
            <v>RJ067B0G</v>
          </cell>
          <cell r="N49">
            <v>668</v>
          </cell>
          <cell r="O49">
            <v>2</v>
          </cell>
          <cell r="P49">
            <v>12</v>
          </cell>
          <cell r="Q49">
            <v>9</v>
          </cell>
          <cell r="R49">
            <v>23</v>
          </cell>
          <cell r="S49">
            <v>1.3125</v>
          </cell>
          <cell r="T49">
            <v>10.5</v>
          </cell>
          <cell r="U49">
            <v>0.16600000000000001</v>
          </cell>
          <cell r="V49">
            <v>3</v>
          </cell>
          <cell r="W49" t="str">
            <v>N203080G</v>
          </cell>
          <cell r="X49">
            <v>87</v>
          </cell>
          <cell r="Y49">
            <v>2</v>
          </cell>
          <cell r="Z49">
            <v>14</v>
          </cell>
          <cell r="AA49">
            <v>14</v>
          </cell>
          <cell r="AB49">
            <v>30</v>
          </cell>
          <cell r="AC49">
            <v>3.1374999999999997</v>
          </cell>
          <cell r="AD49">
            <v>25.099999999999998</v>
          </cell>
          <cell r="AE49">
            <v>2.4470000000000001</v>
          </cell>
          <cell r="AF49">
            <v>7</v>
          </cell>
          <cell r="AG49" t="str">
            <v>N205100G</v>
          </cell>
          <cell r="AH49">
            <v>315</v>
          </cell>
          <cell r="AI49">
            <v>3</v>
          </cell>
          <cell r="AJ49">
            <v>14</v>
          </cell>
          <cell r="AK49" t="str">
            <v/>
          </cell>
          <cell r="AL49">
            <v>17</v>
          </cell>
          <cell r="AM49">
            <v>2.9</v>
          </cell>
          <cell r="AN49">
            <v>23.2</v>
          </cell>
          <cell r="AO49">
            <v>0.70799999999999996</v>
          </cell>
          <cell r="AP49">
            <v>7</v>
          </cell>
          <cell r="AQ49" t="str">
            <v>N209200G</v>
          </cell>
          <cell r="AR49">
            <v>408</v>
          </cell>
          <cell r="AS49">
            <v>3</v>
          </cell>
          <cell r="AT49">
            <v>12</v>
          </cell>
          <cell r="AU49" t="str">
            <v/>
          </cell>
          <cell r="AV49">
            <v>15</v>
          </cell>
          <cell r="AW49">
            <v>2.2375000000000003</v>
          </cell>
          <cell r="AX49">
            <v>17.900000000000002</v>
          </cell>
          <cell r="AY49" t="str">
            <v/>
          </cell>
          <cell r="AZ49">
            <v>1</v>
          </cell>
          <cell r="BA49" t="str">
            <v>N209220G</v>
          </cell>
          <cell r="BB49">
            <v>410</v>
          </cell>
          <cell r="BC49" t="str">
            <v/>
          </cell>
          <cell r="BD49" t="str">
            <v/>
          </cell>
          <cell r="BE49" t="str">
            <v/>
          </cell>
          <cell r="BF49" t="str">
            <v/>
          </cell>
          <cell r="BG49">
            <v>3.2250000000000001</v>
          </cell>
          <cell r="BH49">
            <v>25.8</v>
          </cell>
          <cell r="BI49">
            <v>0.47</v>
          </cell>
          <cell r="BJ49">
            <v>2</v>
          </cell>
          <cell r="BK49" t="str">
            <v>RJ09020G</v>
          </cell>
          <cell r="BL49">
            <v>695</v>
          </cell>
          <cell r="BM49" t="str">
            <v/>
          </cell>
          <cell r="BN49" t="str">
            <v/>
          </cell>
          <cell r="BO49" t="str">
            <v/>
          </cell>
          <cell r="BP49" t="str">
            <v/>
          </cell>
          <cell r="BQ49">
            <v>1.7</v>
          </cell>
          <cell r="BR49">
            <v>13.6</v>
          </cell>
          <cell r="BS49">
            <v>0.26</v>
          </cell>
          <cell r="BT49">
            <v>1</v>
          </cell>
          <cell r="BU49" t="str">
            <v>N204030G</v>
          </cell>
          <cell r="BV49">
            <v>275</v>
          </cell>
          <cell r="BW49">
            <v>0.5</v>
          </cell>
          <cell r="BX49">
            <v>3</v>
          </cell>
          <cell r="BY49">
            <v>4</v>
          </cell>
          <cell r="BZ49">
            <v>7.5</v>
          </cell>
          <cell r="CA49">
            <v>1.325</v>
          </cell>
          <cell r="CB49">
            <v>10.6</v>
          </cell>
          <cell r="CC49">
            <v>0.19</v>
          </cell>
          <cell r="CD49" t="str">
            <v/>
          </cell>
        </row>
        <row r="50">
          <cell r="B50" t="str">
            <v>Bonjour Bonifacio</v>
          </cell>
          <cell r="C50" t="str">
            <v>RJ02010G</v>
          </cell>
          <cell r="D50">
            <v>508</v>
          </cell>
          <cell r="E50">
            <v>1.5</v>
          </cell>
          <cell r="F50">
            <v>15.5</v>
          </cell>
          <cell r="G50">
            <v>10.5</v>
          </cell>
          <cell r="H50">
            <v>27.5</v>
          </cell>
          <cell r="I50">
            <v>1.925</v>
          </cell>
          <cell r="J50">
            <v>15.4</v>
          </cell>
          <cell r="K50">
            <v>0.11700000000000001</v>
          </cell>
          <cell r="L50">
            <v>0</v>
          </cell>
          <cell r="M50" t="str">
            <v>RJ07Z20G</v>
          </cell>
          <cell r="N50">
            <v>689</v>
          </cell>
          <cell r="O50">
            <v>2</v>
          </cell>
          <cell r="P50">
            <v>17</v>
          </cell>
          <cell r="Q50">
            <v>9.5</v>
          </cell>
          <cell r="R50">
            <v>28.5</v>
          </cell>
          <cell r="S50">
            <v>1.3125</v>
          </cell>
          <cell r="T50">
            <v>10.5</v>
          </cell>
          <cell r="U50">
            <v>0.114</v>
          </cell>
          <cell r="V50">
            <v>1</v>
          </cell>
          <cell r="W50" t="str">
            <v>N203D30G</v>
          </cell>
          <cell r="X50">
            <v>170</v>
          </cell>
          <cell r="Y50">
            <v>1.5</v>
          </cell>
          <cell r="Z50">
            <v>16.5</v>
          </cell>
          <cell r="AA50">
            <v>8.5</v>
          </cell>
          <cell r="AB50">
            <v>26.5</v>
          </cell>
          <cell r="AC50">
            <v>2.8250000000000002</v>
          </cell>
          <cell r="AD50">
            <v>22.6</v>
          </cell>
          <cell r="AE50">
            <v>0.36299999999999999</v>
          </cell>
          <cell r="AF50">
            <v>0</v>
          </cell>
          <cell r="AG50" t="str">
            <v>N203D31G</v>
          </cell>
          <cell r="AH50">
            <v>171</v>
          </cell>
          <cell r="AI50">
            <v>3</v>
          </cell>
          <cell r="AJ50">
            <v>9</v>
          </cell>
          <cell r="AK50">
            <v>16.5</v>
          </cell>
          <cell r="AL50">
            <v>28.5</v>
          </cell>
          <cell r="AM50">
            <v>2.0125000000000002</v>
          </cell>
          <cell r="AN50">
            <v>16.100000000000001</v>
          </cell>
          <cell r="AO50">
            <v>0.67800000000000005</v>
          </cell>
          <cell r="AP50">
            <v>2</v>
          </cell>
          <cell r="AQ50" t="str">
            <v>RJ03190G</v>
          </cell>
          <cell r="AR50">
            <v>562</v>
          </cell>
          <cell r="AS50">
            <v>1</v>
          </cell>
          <cell r="AT50">
            <v>9.5</v>
          </cell>
          <cell r="AU50">
            <v>13</v>
          </cell>
          <cell r="AV50">
            <v>23.5</v>
          </cell>
          <cell r="AW50">
            <v>1.325</v>
          </cell>
          <cell r="AX50">
            <v>10.6</v>
          </cell>
          <cell r="AY50">
            <v>0.22</v>
          </cell>
          <cell r="AZ50">
            <v>2</v>
          </cell>
          <cell r="BA50" t="str">
            <v>RJ03200G</v>
          </cell>
          <cell r="BB50">
            <v>563</v>
          </cell>
          <cell r="BC50">
            <v>2</v>
          </cell>
          <cell r="BD50">
            <v>13</v>
          </cell>
          <cell r="BE50">
            <v>10.5</v>
          </cell>
          <cell r="BF50">
            <v>25.5</v>
          </cell>
          <cell r="BG50">
            <v>1.325</v>
          </cell>
          <cell r="BH50">
            <v>10.6</v>
          </cell>
          <cell r="BI50">
            <v>0.188</v>
          </cell>
          <cell r="BJ50">
            <v>2</v>
          </cell>
          <cell r="BK50" t="str">
            <v>RJ05690G</v>
          </cell>
          <cell r="BL50">
            <v>654</v>
          </cell>
          <cell r="BM50">
            <v>1.5</v>
          </cell>
          <cell r="BN50">
            <v>11.5</v>
          </cell>
          <cell r="BO50">
            <v>8</v>
          </cell>
          <cell r="BP50">
            <v>21</v>
          </cell>
          <cell r="BQ50">
            <v>1.925</v>
          </cell>
          <cell r="BR50">
            <v>15.4</v>
          </cell>
          <cell r="BS50">
            <v>0.128</v>
          </cell>
          <cell r="BT50">
            <v>1</v>
          </cell>
          <cell r="BU50" t="str">
            <v>RJ03D20G</v>
          </cell>
          <cell r="BV50">
            <v>617</v>
          </cell>
          <cell r="BW50">
            <v>1</v>
          </cell>
          <cell r="BX50">
            <v>4</v>
          </cell>
          <cell r="BY50">
            <v>5</v>
          </cell>
          <cell r="BZ50">
            <v>10</v>
          </cell>
          <cell r="CA50">
            <v>1.3</v>
          </cell>
          <cell r="CB50">
            <v>10.4</v>
          </cell>
          <cell r="CC50">
            <v>0.04</v>
          </cell>
          <cell r="CD50">
            <v>0</v>
          </cell>
        </row>
        <row r="51">
          <cell r="B51" t="str">
            <v>Christian Buban</v>
          </cell>
          <cell r="C51" t="str">
            <v>RJJ1S30G</v>
          </cell>
          <cell r="D51">
            <v>786</v>
          </cell>
          <cell r="E51">
            <v>3</v>
          </cell>
          <cell r="F51">
            <v>37.5</v>
          </cell>
          <cell r="G51">
            <v>28</v>
          </cell>
          <cell r="H51">
            <v>68.5</v>
          </cell>
          <cell r="I51">
            <v>2.8625000000000003</v>
          </cell>
          <cell r="J51">
            <v>22.900000000000002</v>
          </cell>
          <cell r="K51">
            <v>1.8839999999999999</v>
          </cell>
          <cell r="L51">
            <v>5</v>
          </cell>
          <cell r="M51" t="str">
            <v>RJJ1S31G</v>
          </cell>
          <cell r="N51">
            <v>787</v>
          </cell>
          <cell r="O51">
            <v>2</v>
          </cell>
          <cell r="P51">
            <v>16</v>
          </cell>
          <cell r="Q51">
            <v>18.5</v>
          </cell>
          <cell r="R51">
            <v>36.5</v>
          </cell>
          <cell r="S51">
            <v>1.4125000000000001</v>
          </cell>
          <cell r="T51">
            <v>11.3</v>
          </cell>
          <cell r="U51">
            <v>0.94099999999999995</v>
          </cell>
          <cell r="V51">
            <v>5</v>
          </cell>
          <cell r="W51" t="str">
            <v>N203090G</v>
          </cell>
          <cell r="X51">
            <v>88</v>
          </cell>
          <cell r="Y51">
            <v>3</v>
          </cell>
          <cell r="Z51">
            <v>14.5</v>
          </cell>
          <cell r="AA51">
            <v>24</v>
          </cell>
          <cell r="AB51">
            <v>41.5</v>
          </cell>
          <cell r="AC51">
            <v>2.875</v>
          </cell>
          <cell r="AD51">
            <v>23</v>
          </cell>
          <cell r="AE51">
            <v>0.91700000000000004</v>
          </cell>
          <cell r="AF51">
            <v>7</v>
          </cell>
          <cell r="AG51" t="str">
            <v>N205110G</v>
          </cell>
          <cell r="AH51">
            <v>316</v>
          </cell>
          <cell r="AI51">
            <v>2</v>
          </cell>
          <cell r="AJ51">
            <v>8</v>
          </cell>
          <cell r="AK51">
            <v>7</v>
          </cell>
          <cell r="AL51">
            <v>17</v>
          </cell>
          <cell r="AM51">
            <v>1.3125</v>
          </cell>
          <cell r="AN51">
            <v>10.5</v>
          </cell>
          <cell r="AO51">
            <v>0.26100000000000001</v>
          </cell>
          <cell r="AP51">
            <v>3</v>
          </cell>
          <cell r="AQ51" t="str">
            <v>N209510G</v>
          </cell>
          <cell r="AR51">
            <v>414</v>
          </cell>
          <cell r="AS51">
            <v>1</v>
          </cell>
          <cell r="AT51">
            <v>6.5</v>
          </cell>
          <cell r="AU51">
            <v>22</v>
          </cell>
          <cell r="AV51">
            <v>29.5</v>
          </cell>
          <cell r="AW51">
            <v>2.2375000000000003</v>
          </cell>
          <cell r="AX51">
            <v>17.900000000000002</v>
          </cell>
          <cell r="AY51">
            <v>0.84499999999999997</v>
          </cell>
          <cell r="AZ51">
            <v>2</v>
          </cell>
          <cell r="BA51" t="str">
            <v>N209530G</v>
          </cell>
          <cell r="BB51">
            <v>416</v>
          </cell>
          <cell r="BC51">
            <v>1</v>
          </cell>
          <cell r="BD51">
            <v>5</v>
          </cell>
          <cell r="BE51">
            <v>20</v>
          </cell>
          <cell r="BF51">
            <v>26</v>
          </cell>
          <cell r="BG51">
            <v>2.85</v>
          </cell>
          <cell r="BH51">
            <v>22.8</v>
          </cell>
          <cell r="BI51">
            <v>0.59199999999999997</v>
          </cell>
          <cell r="BJ51">
            <v>0</v>
          </cell>
          <cell r="BK51" t="str">
            <v>RJ09010G</v>
          </cell>
          <cell r="BL51">
            <v>694</v>
          </cell>
          <cell r="BM51">
            <v>1</v>
          </cell>
          <cell r="BN51">
            <v>9</v>
          </cell>
          <cell r="BO51">
            <v>8</v>
          </cell>
          <cell r="BP51">
            <v>18</v>
          </cell>
          <cell r="BQ51">
            <v>1.925</v>
          </cell>
          <cell r="BR51">
            <v>15.4</v>
          </cell>
          <cell r="BS51">
            <v>0.14799999999999999</v>
          </cell>
          <cell r="BT51">
            <v>2</v>
          </cell>
          <cell r="BU51" t="str">
            <v>N203P80G</v>
          </cell>
          <cell r="BV51">
            <v>203</v>
          </cell>
          <cell r="BW51">
            <v>0.5</v>
          </cell>
          <cell r="BX51">
            <v>4</v>
          </cell>
          <cell r="BY51">
            <v>6</v>
          </cell>
          <cell r="BZ51">
            <v>10.5</v>
          </cell>
          <cell r="CA51">
            <v>1.325</v>
          </cell>
          <cell r="CB51">
            <v>10.6</v>
          </cell>
          <cell r="CC51">
            <v>0.192</v>
          </cell>
          <cell r="CD51">
            <v>4</v>
          </cell>
        </row>
        <row r="52">
          <cell r="B52" t="str">
            <v>Joland Romano Ducay</v>
          </cell>
          <cell r="C52" t="str">
            <v>N203120G</v>
          </cell>
          <cell r="D52">
            <v>91</v>
          </cell>
          <cell r="E52">
            <v>4</v>
          </cell>
          <cell r="F52">
            <v>25</v>
          </cell>
          <cell r="G52">
            <v>36</v>
          </cell>
          <cell r="H52">
            <v>65</v>
          </cell>
          <cell r="I52">
            <v>2.85</v>
          </cell>
          <cell r="J52">
            <v>22.8</v>
          </cell>
          <cell r="K52">
            <v>2.6819999999999999</v>
          </cell>
          <cell r="L52">
            <v>5</v>
          </cell>
          <cell r="M52" t="str">
            <v>N203121G</v>
          </cell>
          <cell r="N52">
            <v>92</v>
          </cell>
          <cell r="O52">
            <v>2.5</v>
          </cell>
          <cell r="P52">
            <v>12</v>
          </cell>
          <cell r="Q52">
            <v>25</v>
          </cell>
          <cell r="R52">
            <v>39.5</v>
          </cell>
          <cell r="S52">
            <v>2.8375000000000004</v>
          </cell>
          <cell r="T52">
            <v>22.700000000000003</v>
          </cell>
          <cell r="U52">
            <v>2.552</v>
          </cell>
          <cell r="V52">
            <v>5</v>
          </cell>
          <cell r="W52" t="str">
            <v>N203122G</v>
          </cell>
          <cell r="X52">
            <v>93</v>
          </cell>
          <cell r="Y52">
            <v>3</v>
          </cell>
          <cell r="Z52">
            <v>10</v>
          </cell>
          <cell r="AA52">
            <v>40</v>
          </cell>
          <cell r="AB52">
            <v>53</v>
          </cell>
          <cell r="AC52">
            <v>5.4874999999999998</v>
          </cell>
          <cell r="AD52">
            <v>43.9</v>
          </cell>
          <cell r="AE52">
            <v>1.341</v>
          </cell>
          <cell r="AF52">
            <v>0</v>
          </cell>
          <cell r="AG52" t="str">
            <v>N205140G</v>
          </cell>
          <cell r="AH52">
            <v>321</v>
          </cell>
          <cell r="AI52">
            <v>4</v>
          </cell>
          <cell r="AJ52">
            <v>12</v>
          </cell>
          <cell r="AK52">
            <v>40</v>
          </cell>
          <cell r="AL52">
            <v>56</v>
          </cell>
          <cell r="AM52">
            <v>2.8625000000000003</v>
          </cell>
          <cell r="AN52">
            <v>22.900000000000002</v>
          </cell>
          <cell r="AO52" t="str">
            <v xml:space="preserve">0.9 
</v>
          </cell>
          <cell r="AP52">
            <v>6</v>
          </cell>
          <cell r="AQ52" t="str">
            <v>N214070G</v>
          </cell>
          <cell r="AR52">
            <v>429</v>
          </cell>
          <cell r="AS52">
            <v>1</v>
          </cell>
          <cell r="AT52">
            <v>14</v>
          </cell>
          <cell r="AU52">
            <v>11</v>
          </cell>
          <cell r="AV52">
            <v>26</v>
          </cell>
          <cell r="AW52">
            <v>3</v>
          </cell>
          <cell r="AX52">
            <v>24</v>
          </cell>
          <cell r="AY52">
            <v>3.3380000000000001</v>
          </cell>
          <cell r="AZ52">
            <v>6</v>
          </cell>
          <cell r="BA52" t="str">
            <v>N207160G</v>
          </cell>
          <cell r="BB52">
            <v>373</v>
          </cell>
          <cell r="BC52">
            <v>1</v>
          </cell>
          <cell r="BD52">
            <v>5</v>
          </cell>
          <cell r="BE52">
            <v>7</v>
          </cell>
          <cell r="BF52">
            <v>13</v>
          </cell>
          <cell r="BG52">
            <v>1.325</v>
          </cell>
          <cell r="BH52">
            <v>10.6</v>
          </cell>
          <cell r="BI52">
            <v>0.19600000000000001</v>
          </cell>
          <cell r="BJ52">
            <v>1</v>
          </cell>
          <cell r="BK52" t="str">
            <v>N203730G</v>
          </cell>
          <cell r="BL52">
            <v>131</v>
          </cell>
          <cell r="BM52">
            <v>1</v>
          </cell>
          <cell r="BN52">
            <v>8</v>
          </cell>
          <cell r="BO52">
            <v>8</v>
          </cell>
          <cell r="BP52">
            <v>17</v>
          </cell>
          <cell r="BQ52">
            <v>1.325</v>
          </cell>
          <cell r="BR52">
            <v>10.6</v>
          </cell>
          <cell r="BS52">
            <v>1.014</v>
          </cell>
          <cell r="BT52" t="str">
            <v/>
          </cell>
          <cell r="BU52" t="str">
            <v>RJ03900G</v>
          </cell>
          <cell r="BV52">
            <v>612</v>
          </cell>
          <cell r="BW52">
            <v>1.5</v>
          </cell>
          <cell r="BX52">
            <v>9</v>
          </cell>
          <cell r="BY52">
            <v>3</v>
          </cell>
          <cell r="BZ52">
            <v>13.5</v>
          </cell>
          <cell r="CA52">
            <v>1.325</v>
          </cell>
          <cell r="CB52">
            <v>10.6</v>
          </cell>
          <cell r="CC52">
            <v>0.247</v>
          </cell>
          <cell r="CD52" t="str">
            <v/>
          </cell>
        </row>
        <row r="53">
          <cell r="B53" t="str">
            <v>Ralph Duane Geronimo</v>
          </cell>
          <cell r="C53" t="str">
            <v>RJ02060G</v>
          </cell>
          <cell r="D53">
            <v>514</v>
          </cell>
          <cell r="E53">
            <v>1</v>
          </cell>
          <cell r="F53">
            <v>6</v>
          </cell>
          <cell r="G53">
            <v>12</v>
          </cell>
          <cell r="H53">
            <v>19</v>
          </cell>
          <cell r="I53">
            <v>1.3</v>
          </cell>
          <cell r="J53">
            <v>10.4</v>
          </cell>
          <cell r="K53">
            <v>5.8999999999999997E-2</v>
          </cell>
          <cell r="L53">
            <v>2</v>
          </cell>
          <cell r="M53" t="str">
            <v>RJ06H30G</v>
          </cell>
          <cell r="N53">
            <v>672</v>
          </cell>
          <cell r="O53">
            <v>2</v>
          </cell>
          <cell r="P53">
            <v>4</v>
          </cell>
          <cell r="Q53">
            <v>10</v>
          </cell>
          <cell r="R53">
            <v>16</v>
          </cell>
          <cell r="S53">
            <v>1.3125</v>
          </cell>
          <cell r="T53">
            <v>10.5</v>
          </cell>
          <cell r="U53">
            <v>0.122</v>
          </cell>
          <cell r="V53">
            <v>0</v>
          </cell>
          <cell r="W53" t="str">
            <v>N203350G</v>
          </cell>
          <cell r="X53">
            <v>104</v>
          </cell>
          <cell r="Y53" t="str">
            <v/>
          </cell>
          <cell r="Z53" t="str">
            <v/>
          </cell>
          <cell r="AA53" t="str">
            <v/>
          </cell>
          <cell r="AB53" t="str">
            <v/>
          </cell>
          <cell r="AC53">
            <v>6.6375000000000002</v>
          </cell>
          <cell r="AD53">
            <v>53.1</v>
          </cell>
          <cell r="AE53" t="str">
            <v/>
          </cell>
          <cell r="AF53">
            <v>3</v>
          </cell>
          <cell r="AG53" t="str">
            <v>N205150G</v>
          </cell>
          <cell r="AH53">
            <v>322</v>
          </cell>
          <cell r="AI53" t="str">
            <v/>
          </cell>
          <cell r="AJ53" t="str">
            <v/>
          </cell>
          <cell r="AK53" t="str">
            <v/>
          </cell>
          <cell r="AL53" t="str">
            <v/>
          </cell>
          <cell r="AM53">
            <v>2.875</v>
          </cell>
          <cell r="AN53">
            <v>23</v>
          </cell>
          <cell r="AO53" t="str">
            <v/>
          </cell>
          <cell r="AP53">
            <v>0</v>
          </cell>
          <cell r="AQ53" t="str">
            <v>N240070G</v>
          </cell>
          <cell r="AR53">
            <v>439</v>
          </cell>
          <cell r="AS53" t="str">
            <v/>
          </cell>
          <cell r="AT53" t="str">
            <v/>
          </cell>
          <cell r="AU53" t="str">
            <v/>
          </cell>
          <cell r="AV53" t="str">
            <v/>
          </cell>
          <cell r="AW53">
            <v>2.8625000000000003</v>
          </cell>
          <cell r="AX53">
            <v>22.900000000000002</v>
          </cell>
          <cell r="AY53" t="str">
            <v/>
          </cell>
          <cell r="AZ53">
            <v>0</v>
          </cell>
          <cell r="BA53" t="str">
            <v>N240440G</v>
          </cell>
          <cell r="BB53">
            <v>471</v>
          </cell>
          <cell r="BC53" t="str">
            <v/>
          </cell>
          <cell r="BD53" t="str">
            <v/>
          </cell>
          <cell r="BE53" t="str">
            <v/>
          </cell>
          <cell r="BF53" t="str">
            <v/>
          </cell>
          <cell r="BG53">
            <v>2.8625000000000003</v>
          </cell>
          <cell r="BH53">
            <v>22.900000000000002</v>
          </cell>
          <cell r="BI53" t="str">
            <v/>
          </cell>
          <cell r="BJ53" t="str">
            <v/>
          </cell>
          <cell r="BK53" t="str">
            <v>N207290G</v>
          </cell>
          <cell r="BL53">
            <v>385</v>
          </cell>
          <cell r="BM53" t="str">
            <v/>
          </cell>
          <cell r="BN53" t="str">
            <v/>
          </cell>
          <cell r="BO53" t="str">
            <v/>
          </cell>
          <cell r="BP53" t="str">
            <v/>
          </cell>
          <cell r="BQ53">
            <v>1.325</v>
          </cell>
          <cell r="BR53">
            <v>10.6</v>
          </cell>
          <cell r="BS53" t="str">
            <v/>
          </cell>
          <cell r="BT53" t="str">
            <v/>
          </cell>
          <cell r="BU53" t="str">
            <v>N203A10G</v>
          </cell>
          <cell r="BV53">
            <v>147</v>
          </cell>
          <cell r="BW53" t="str">
            <v/>
          </cell>
          <cell r="BX53" t="str">
            <v/>
          </cell>
          <cell r="BY53" t="str">
            <v/>
          </cell>
          <cell r="BZ53" t="str">
            <v/>
          </cell>
          <cell r="CA53">
            <v>1.325</v>
          </cell>
          <cell r="CB53">
            <v>10.6</v>
          </cell>
          <cell r="CC53" t="str">
            <v/>
          </cell>
          <cell r="CD53">
            <v>4</v>
          </cell>
        </row>
        <row r="54">
          <cell r="B54" t="str">
            <v>Jemuel Zohar Ortega</v>
          </cell>
          <cell r="C54" t="str">
            <v>RJ02120G</v>
          </cell>
          <cell r="D54">
            <v>520</v>
          </cell>
          <cell r="E54">
            <v>2</v>
          </cell>
          <cell r="F54">
            <v>9.5</v>
          </cell>
          <cell r="G54">
            <v>8.5</v>
          </cell>
          <cell r="H54">
            <v>20</v>
          </cell>
          <cell r="I54">
            <v>1.3</v>
          </cell>
          <cell r="J54">
            <v>10.4</v>
          </cell>
          <cell r="K54">
            <v>6.0999999999999999E-2</v>
          </cell>
          <cell r="L54">
            <v>1</v>
          </cell>
          <cell r="M54" t="str">
            <v>RJ06H40G</v>
          </cell>
          <cell r="N54">
            <v>673</v>
          </cell>
          <cell r="O54">
            <v>2</v>
          </cell>
          <cell r="P54">
            <v>15</v>
          </cell>
          <cell r="Q54">
            <v>20</v>
          </cell>
          <cell r="R54">
            <v>37</v>
          </cell>
          <cell r="S54">
            <v>1.7125000000000001</v>
          </cell>
          <cell r="T54">
            <v>13.700000000000001</v>
          </cell>
          <cell r="U54">
            <v>0.20100000000000001</v>
          </cell>
          <cell r="V54">
            <v>2</v>
          </cell>
          <cell r="W54" t="str">
            <v>N280C50G</v>
          </cell>
          <cell r="X54">
            <v>519</v>
          </cell>
          <cell r="Y54">
            <v>2</v>
          </cell>
          <cell r="Z54">
            <v>13</v>
          </cell>
          <cell r="AA54">
            <v>18.5</v>
          </cell>
          <cell r="AB54">
            <v>33.5</v>
          </cell>
          <cell r="AC54">
            <v>1.9375</v>
          </cell>
          <cell r="AD54">
            <v>15.5</v>
          </cell>
          <cell r="AE54">
            <v>0.28699999999999998</v>
          </cell>
          <cell r="AF54">
            <v>5</v>
          </cell>
          <cell r="AG54" t="str">
            <v>N203860G</v>
          </cell>
          <cell r="AH54">
            <v>137</v>
          </cell>
          <cell r="AI54">
            <v>2</v>
          </cell>
          <cell r="AJ54">
            <v>19</v>
          </cell>
          <cell r="AK54">
            <v>8</v>
          </cell>
          <cell r="AL54">
            <v>29</v>
          </cell>
          <cell r="AM54">
            <v>2.85</v>
          </cell>
          <cell r="AN54">
            <v>22.8</v>
          </cell>
          <cell r="AO54">
            <v>0.36899999999999999</v>
          </cell>
          <cell r="AP54">
            <v>3</v>
          </cell>
          <cell r="AQ54" t="str">
            <v>N205230G</v>
          </cell>
          <cell r="AR54">
            <v>323</v>
          </cell>
          <cell r="AS54">
            <v>0.5</v>
          </cell>
          <cell r="AT54">
            <v>8</v>
          </cell>
          <cell r="AU54">
            <v>18.5</v>
          </cell>
          <cell r="AV54">
            <v>27</v>
          </cell>
          <cell r="AW54">
            <v>1.3125</v>
          </cell>
          <cell r="AX54">
            <v>10.5</v>
          </cell>
          <cell r="AY54">
            <v>0.27300000000000002</v>
          </cell>
          <cell r="AZ54">
            <v>1</v>
          </cell>
          <cell r="BA54" t="str">
            <v>N2801B0G</v>
          </cell>
          <cell r="BB54">
            <v>476</v>
          </cell>
          <cell r="BC54">
            <v>0.5</v>
          </cell>
          <cell r="BD54">
            <v>6</v>
          </cell>
          <cell r="BE54">
            <v>3</v>
          </cell>
          <cell r="BF54">
            <v>9.5</v>
          </cell>
          <cell r="BG54">
            <v>1.3</v>
          </cell>
          <cell r="BH54">
            <v>10.4</v>
          </cell>
          <cell r="BI54">
            <v>7.1999999999999995E-2</v>
          </cell>
          <cell r="BJ54">
            <v>0</v>
          </cell>
          <cell r="BK54" t="str">
            <v>N207140G</v>
          </cell>
          <cell r="BL54">
            <v>372</v>
          </cell>
          <cell r="BM54">
            <v>0.5</v>
          </cell>
          <cell r="BN54">
            <v>9</v>
          </cell>
          <cell r="BO54">
            <v>12</v>
          </cell>
          <cell r="BP54">
            <v>21.5</v>
          </cell>
          <cell r="BQ54">
            <v>1.325</v>
          </cell>
          <cell r="BR54">
            <v>10.6</v>
          </cell>
          <cell r="BS54">
            <v>0.26200000000000001</v>
          </cell>
          <cell r="BT54">
            <v>1</v>
          </cell>
          <cell r="BU54" t="str">
            <v>N203720G</v>
          </cell>
          <cell r="BV54">
            <v>130</v>
          </cell>
          <cell r="BW54">
            <v>1</v>
          </cell>
          <cell r="BX54">
            <v>5</v>
          </cell>
          <cell r="BY54">
            <v>4</v>
          </cell>
          <cell r="BZ54">
            <v>10</v>
          </cell>
          <cell r="CA54">
            <v>1.3</v>
          </cell>
          <cell r="CB54">
            <v>10.4</v>
          </cell>
          <cell r="CC54">
            <v>0.75800000000000001</v>
          </cell>
          <cell r="CD54">
            <v>0</v>
          </cell>
        </row>
        <row r="55">
          <cell r="B55" t="str">
            <v>Brendon Glenn Palileo</v>
          </cell>
          <cell r="C55" t="str">
            <v>RJ02400G</v>
          </cell>
          <cell r="D55">
            <v>541</v>
          </cell>
          <cell r="E55">
            <v>5</v>
          </cell>
          <cell r="F55">
            <v>16.5</v>
          </cell>
          <cell r="G55">
            <v>8.5</v>
          </cell>
          <cell r="H55">
            <v>30</v>
          </cell>
          <cell r="I55">
            <v>1.3</v>
          </cell>
          <cell r="J55">
            <v>10.4</v>
          </cell>
          <cell r="K55">
            <v>6.6000000000000003E-2</v>
          </cell>
          <cell r="L55">
            <v>2</v>
          </cell>
          <cell r="M55" t="str">
            <v>RJ06ZC0G</v>
          </cell>
          <cell r="N55">
            <v>680</v>
          </cell>
          <cell r="O55">
            <v>6</v>
          </cell>
          <cell r="P55">
            <v>23.5</v>
          </cell>
          <cell r="Q55">
            <v>17</v>
          </cell>
          <cell r="R55">
            <v>46.5</v>
          </cell>
          <cell r="S55">
            <v>1.3125</v>
          </cell>
          <cell r="T55">
            <v>10.5</v>
          </cell>
          <cell r="U55">
            <v>0.22900000000000001</v>
          </cell>
          <cell r="V55">
            <v>2</v>
          </cell>
          <cell r="W55" t="str">
            <v>N203990G</v>
          </cell>
          <cell r="X55">
            <v>146</v>
          </cell>
          <cell r="Y55">
            <v>2</v>
          </cell>
          <cell r="Z55">
            <v>22</v>
          </cell>
          <cell r="AA55">
            <v>34</v>
          </cell>
          <cell r="AB55">
            <v>58</v>
          </cell>
          <cell r="AC55">
            <v>2.9125000000000001</v>
          </cell>
          <cell r="AD55">
            <v>23.3</v>
          </cell>
          <cell r="AE55">
            <v>1.6020000000000001</v>
          </cell>
          <cell r="AF55">
            <v>0</v>
          </cell>
          <cell r="AG55" t="str">
            <v>N205610G</v>
          </cell>
          <cell r="AH55">
            <v>326</v>
          </cell>
          <cell r="AI55">
            <v>2.5</v>
          </cell>
          <cell r="AJ55">
            <v>7</v>
          </cell>
          <cell r="AK55">
            <v>13.5</v>
          </cell>
          <cell r="AL55">
            <v>23</v>
          </cell>
          <cell r="AM55">
            <v>1.3</v>
          </cell>
          <cell r="AN55">
            <v>10.4</v>
          </cell>
          <cell r="AO55">
            <v>0.10199999999999999</v>
          </cell>
          <cell r="AP55">
            <v>2</v>
          </cell>
          <cell r="AQ55" t="str">
            <v>N284670G</v>
          </cell>
          <cell r="AR55">
            <v>492</v>
          </cell>
          <cell r="AS55">
            <v>2.5</v>
          </cell>
          <cell r="AT55">
            <v>10</v>
          </cell>
          <cell r="AU55">
            <v>12.5</v>
          </cell>
          <cell r="AV55">
            <v>25</v>
          </cell>
          <cell r="AW55">
            <v>1.925</v>
          </cell>
          <cell r="AX55">
            <v>15.4</v>
          </cell>
          <cell r="AY55">
            <v>0.191</v>
          </cell>
          <cell r="AZ55">
            <v>7</v>
          </cell>
          <cell r="BA55" t="str">
            <v>N284680G</v>
          </cell>
          <cell r="BB55">
            <v>493</v>
          </cell>
          <cell r="BC55">
            <v>2</v>
          </cell>
          <cell r="BD55">
            <v>9</v>
          </cell>
          <cell r="BE55">
            <v>24</v>
          </cell>
          <cell r="BF55">
            <v>35</v>
          </cell>
          <cell r="BG55">
            <v>1.925</v>
          </cell>
          <cell r="BH55">
            <v>15.4</v>
          </cell>
          <cell r="BI55">
            <v>0.251</v>
          </cell>
          <cell r="BJ55">
            <v>4</v>
          </cell>
          <cell r="BK55" t="str">
            <v>RJ05800G</v>
          </cell>
          <cell r="BL55">
            <v>656</v>
          </cell>
          <cell r="BM55">
            <v>5</v>
          </cell>
          <cell r="BN55">
            <v>6</v>
          </cell>
          <cell r="BO55">
            <v>9</v>
          </cell>
          <cell r="BP55">
            <v>20</v>
          </cell>
          <cell r="BQ55">
            <v>1.925</v>
          </cell>
          <cell r="BR55">
            <v>15.4</v>
          </cell>
          <cell r="BS55">
            <v>8.4000000000000005E-2</v>
          </cell>
          <cell r="BT55">
            <v>1</v>
          </cell>
          <cell r="BU55" t="str">
            <v>RJ03410G</v>
          </cell>
          <cell r="BV55">
            <v>573</v>
          </cell>
          <cell r="BW55">
            <v>3</v>
          </cell>
          <cell r="BX55">
            <v>9</v>
          </cell>
          <cell r="BY55">
            <v>9</v>
          </cell>
          <cell r="BZ55">
            <v>21</v>
          </cell>
          <cell r="CA55">
            <v>1.3125</v>
          </cell>
          <cell r="CB55">
            <v>10.5</v>
          </cell>
          <cell r="CC55">
            <v>0.22</v>
          </cell>
          <cell r="CD55">
            <v>0</v>
          </cell>
        </row>
        <row r="56">
          <cell r="B56" t="str">
            <v>Marck Jason Piesta</v>
          </cell>
          <cell r="C56" t="str">
            <v>RJ02430G</v>
          </cell>
          <cell r="D56">
            <v>544</v>
          </cell>
          <cell r="E56">
            <v>3</v>
          </cell>
          <cell r="F56">
            <v>8</v>
          </cell>
          <cell r="G56">
            <v>22</v>
          </cell>
          <cell r="H56">
            <v>33</v>
          </cell>
          <cell r="I56">
            <v>1.325</v>
          </cell>
          <cell r="J56">
            <v>10.6</v>
          </cell>
          <cell r="K56">
            <v>8.9999999999999993E-3</v>
          </cell>
          <cell r="L56">
            <v>2</v>
          </cell>
          <cell r="M56" t="str">
            <v>RJ07020G</v>
          </cell>
          <cell r="N56">
            <v>681</v>
          </cell>
          <cell r="O56" t="str">
            <v/>
          </cell>
          <cell r="P56" t="str">
            <v/>
          </cell>
          <cell r="Q56" t="str">
            <v/>
          </cell>
          <cell r="R56" t="str">
            <v/>
          </cell>
          <cell r="S56">
            <v>1.3125</v>
          </cell>
          <cell r="T56">
            <v>10.5</v>
          </cell>
          <cell r="U56">
            <v>0.247</v>
          </cell>
          <cell r="V56">
            <v>3</v>
          </cell>
          <cell r="W56" t="str">
            <v>N203A20G</v>
          </cell>
          <cell r="X56">
            <v>148</v>
          </cell>
          <cell r="Y56" t="str">
            <v/>
          </cell>
          <cell r="Z56" t="str">
            <v/>
          </cell>
          <cell r="AA56" t="str">
            <v/>
          </cell>
          <cell r="AB56" t="str">
            <v/>
          </cell>
          <cell r="AC56">
            <v>2.8625000000000003</v>
          </cell>
          <cell r="AD56">
            <v>22.900000000000002</v>
          </cell>
          <cell r="AE56" t="str">
            <v/>
          </cell>
          <cell r="AF56">
            <v>3</v>
          </cell>
          <cell r="AG56" t="str">
            <v>N205580G</v>
          </cell>
          <cell r="AH56">
            <v>325</v>
          </cell>
          <cell r="AI56" t="str">
            <v/>
          </cell>
          <cell r="AJ56" t="str">
            <v/>
          </cell>
          <cell r="AK56" t="str">
            <v/>
          </cell>
          <cell r="AL56" t="str">
            <v/>
          </cell>
          <cell r="AM56">
            <v>1.9375</v>
          </cell>
          <cell r="AN56">
            <v>15.5</v>
          </cell>
          <cell r="AO56">
            <v>0.14499999999999999</v>
          </cell>
          <cell r="AP56">
            <v>0</v>
          </cell>
          <cell r="AQ56" t="str">
            <v>N205580G</v>
          </cell>
          <cell r="AR56">
            <v>325</v>
          </cell>
          <cell r="AS56" t="str">
            <v/>
          </cell>
          <cell r="AT56" t="str">
            <v/>
          </cell>
          <cell r="AU56" t="str">
            <v/>
          </cell>
          <cell r="AV56" t="str">
            <v/>
          </cell>
          <cell r="AW56">
            <v>1.9375</v>
          </cell>
          <cell r="AX56">
            <v>15.5</v>
          </cell>
          <cell r="AY56">
            <v>0.14499999999999999</v>
          </cell>
          <cell r="AZ56">
            <v>0</v>
          </cell>
          <cell r="BA56" t="str">
            <v>N2J1020G</v>
          </cell>
          <cell r="BB56">
            <v>497</v>
          </cell>
          <cell r="BC56" t="str">
            <v/>
          </cell>
          <cell r="BD56" t="str">
            <v/>
          </cell>
          <cell r="BE56" t="str">
            <v/>
          </cell>
          <cell r="BF56" t="str">
            <v/>
          </cell>
          <cell r="BG56">
            <v>1.9375</v>
          </cell>
          <cell r="BH56">
            <v>15.5</v>
          </cell>
          <cell r="BI56" t="str">
            <v/>
          </cell>
          <cell r="BJ56">
            <v>0</v>
          </cell>
          <cell r="BK56" t="str">
            <v>RJ83420G</v>
          </cell>
          <cell r="BL56">
            <v>763</v>
          </cell>
          <cell r="BM56" t="str">
            <v/>
          </cell>
          <cell r="BN56" t="str">
            <v/>
          </cell>
          <cell r="BO56" t="str">
            <v/>
          </cell>
          <cell r="BP56" t="str">
            <v/>
          </cell>
          <cell r="BQ56">
            <v>1.925</v>
          </cell>
          <cell r="BR56">
            <v>15.4</v>
          </cell>
          <cell r="BS56" t="str">
            <v/>
          </cell>
          <cell r="BT56">
            <v>1</v>
          </cell>
          <cell r="BU56" t="str">
            <v>N207230G</v>
          </cell>
          <cell r="BV56">
            <v>382</v>
          </cell>
          <cell r="BW56" t="str">
            <v/>
          </cell>
          <cell r="BX56" t="str">
            <v/>
          </cell>
          <cell r="BY56" t="str">
            <v/>
          </cell>
          <cell r="BZ56" t="str">
            <v/>
          </cell>
          <cell r="CA56">
            <v>1.3125</v>
          </cell>
          <cell r="CB56">
            <v>10.5</v>
          </cell>
          <cell r="CC56" t="str">
            <v/>
          </cell>
          <cell r="CD56">
            <v>2</v>
          </cell>
        </row>
        <row r="57">
          <cell r="B57" t="str">
            <v>Jason Paul Rosario</v>
          </cell>
          <cell r="C57" t="str">
            <v>N203C60G</v>
          </cell>
          <cell r="D57">
            <v>160</v>
          </cell>
          <cell r="E57">
            <v>1</v>
          </cell>
          <cell r="F57">
            <v>8.5</v>
          </cell>
          <cell r="G57">
            <v>11</v>
          </cell>
          <cell r="H57">
            <v>20.5</v>
          </cell>
          <cell r="I57">
            <v>2.8375000000000004</v>
          </cell>
          <cell r="J57">
            <v>22.700000000000003</v>
          </cell>
          <cell r="K57">
            <v>0.75800000000000001</v>
          </cell>
          <cell r="L57">
            <v>2</v>
          </cell>
          <cell r="M57" t="str">
            <v>N203C61G</v>
          </cell>
          <cell r="N57">
            <v>161</v>
          </cell>
          <cell r="O57">
            <v>1</v>
          </cell>
          <cell r="P57">
            <v>4.5</v>
          </cell>
          <cell r="Q57">
            <v>12</v>
          </cell>
          <cell r="R57">
            <v>17.5</v>
          </cell>
          <cell r="S57">
            <v>2.0125000000000002</v>
          </cell>
          <cell r="T57">
            <v>16.100000000000001</v>
          </cell>
          <cell r="U57">
            <v>1.014</v>
          </cell>
          <cell r="V57">
            <v>4</v>
          </cell>
          <cell r="W57" t="str">
            <v>N203C62G</v>
          </cell>
          <cell r="X57">
            <v>162</v>
          </cell>
          <cell r="Y57">
            <v>1</v>
          </cell>
          <cell r="Z57">
            <v>11.5</v>
          </cell>
          <cell r="AA57">
            <v>9.5</v>
          </cell>
          <cell r="AB57">
            <v>22</v>
          </cell>
          <cell r="AC57">
            <v>2.85</v>
          </cell>
          <cell r="AD57">
            <v>22.8</v>
          </cell>
          <cell r="AE57">
            <v>1.8029999999999999</v>
          </cell>
          <cell r="AF57">
            <v>1</v>
          </cell>
          <cell r="AG57" t="str">
            <v>N203C63G</v>
          </cell>
          <cell r="AH57">
            <v>163</v>
          </cell>
          <cell r="AI57">
            <v>1</v>
          </cell>
          <cell r="AJ57">
            <v>5.5</v>
          </cell>
          <cell r="AK57">
            <v>5</v>
          </cell>
          <cell r="AL57">
            <v>11.5</v>
          </cell>
          <cell r="AM57">
            <v>2.85</v>
          </cell>
          <cell r="AN57">
            <v>22.8</v>
          </cell>
          <cell r="AO57">
            <v>1.7330000000000001</v>
          </cell>
          <cell r="AP57">
            <v>1</v>
          </cell>
          <cell r="AQ57" t="str">
            <v>RJ03140G</v>
          </cell>
          <cell r="AR57">
            <v>557</v>
          </cell>
          <cell r="AS57">
            <v>1</v>
          </cell>
          <cell r="AT57">
            <v>5</v>
          </cell>
          <cell r="AU57">
            <v>7.5</v>
          </cell>
          <cell r="AV57">
            <v>13.5</v>
          </cell>
          <cell r="AW57">
            <v>1.325</v>
          </cell>
          <cell r="AX57">
            <v>10.6</v>
          </cell>
          <cell r="AY57">
            <v>0.254</v>
          </cell>
          <cell r="AZ57">
            <v>3</v>
          </cell>
          <cell r="BA57" t="str">
            <v>RJ03150G</v>
          </cell>
          <cell r="BB57">
            <v>558</v>
          </cell>
          <cell r="BC57">
            <v>1</v>
          </cell>
          <cell r="BD57">
            <v>4</v>
          </cell>
          <cell r="BE57">
            <v>7.5</v>
          </cell>
          <cell r="BF57">
            <v>12.5</v>
          </cell>
          <cell r="BG57">
            <v>1.325</v>
          </cell>
          <cell r="BH57">
            <v>10.6</v>
          </cell>
          <cell r="BI57">
            <v>0.2</v>
          </cell>
          <cell r="BJ57">
            <v>2</v>
          </cell>
          <cell r="BK57" t="str">
            <v>N207130G</v>
          </cell>
          <cell r="BL57">
            <v>371</v>
          </cell>
          <cell r="BM57">
            <v>1</v>
          </cell>
          <cell r="BN57">
            <v>4</v>
          </cell>
          <cell r="BO57">
            <v>4</v>
          </cell>
          <cell r="BP57">
            <v>9</v>
          </cell>
          <cell r="BQ57">
            <v>1.3</v>
          </cell>
          <cell r="BR57">
            <v>10.4</v>
          </cell>
          <cell r="BS57">
            <v>0.14399999999999999</v>
          </cell>
          <cell r="BT57">
            <v>0</v>
          </cell>
          <cell r="BU57" t="str">
            <v>N203710G</v>
          </cell>
          <cell r="BV57">
            <v>129</v>
          </cell>
          <cell r="BW57">
            <v>1</v>
          </cell>
          <cell r="BX57">
            <v>4</v>
          </cell>
          <cell r="BY57">
            <v>3</v>
          </cell>
          <cell r="BZ57">
            <v>8</v>
          </cell>
          <cell r="CA57">
            <v>1.3125</v>
          </cell>
          <cell r="CB57">
            <v>10.5</v>
          </cell>
          <cell r="CC57">
            <v>0.14399999999999999</v>
          </cell>
          <cell r="CD57" t="str">
            <v/>
          </cell>
        </row>
        <row r="58">
          <cell r="B58" t="str">
            <v>Chrestian Tuazon</v>
          </cell>
          <cell r="C58" t="str">
            <v>RJ06ZB0G</v>
          </cell>
          <cell r="D58">
            <v>678</v>
          </cell>
          <cell r="E58">
            <v>3</v>
          </cell>
          <cell r="F58">
            <v>28</v>
          </cell>
          <cell r="G58">
            <v>17</v>
          </cell>
          <cell r="H58">
            <v>48</v>
          </cell>
          <cell r="I58">
            <v>2.8375000000000004</v>
          </cell>
          <cell r="J58">
            <v>22.700000000000003</v>
          </cell>
          <cell r="K58">
            <v>2.8</v>
          </cell>
          <cell r="L58">
            <v>0</v>
          </cell>
          <cell r="M58" t="str">
            <v>RJ06ZB1G</v>
          </cell>
          <cell r="N58">
            <v>679</v>
          </cell>
          <cell r="O58">
            <v>1.5</v>
          </cell>
          <cell r="P58">
            <v>27.5</v>
          </cell>
          <cell r="Q58">
            <v>12</v>
          </cell>
          <cell r="R58">
            <v>41</v>
          </cell>
          <cell r="S58">
            <v>2.8375000000000004</v>
          </cell>
          <cell r="T58">
            <v>22.700000000000003</v>
          </cell>
          <cell r="U58">
            <v>1.5820000000000001</v>
          </cell>
          <cell r="V58">
            <v>8</v>
          </cell>
          <cell r="W58" t="str">
            <v>N2J1030G</v>
          </cell>
          <cell r="X58">
            <v>498</v>
          </cell>
          <cell r="Y58">
            <v>9</v>
          </cell>
          <cell r="Z58">
            <v>31</v>
          </cell>
          <cell r="AA58">
            <v>5</v>
          </cell>
          <cell r="AB58">
            <v>45</v>
          </cell>
          <cell r="AC58">
            <v>2.8625000000000003</v>
          </cell>
          <cell r="AD58">
            <v>22.900000000000002</v>
          </cell>
          <cell r="AE58">
            <v>1.66</v>
          </cell>
          <cell r="AF58">
            <v>7</v>
          </cell>
          <cell r="AG58" t="str">
            <v>N2J1031G</v>
          </cell>
          <cell r="AH58">
            <v>499</v>
          </cell>
          <cell r="AI58">
            <v>1.5</v>
          </cell>
          <cell r="AJ58">
            <v>10.5</v>
          </cell>
          <cell r="AK58">
            <v>4.5</v>
          </cell>
          <cell r="AL58">
            <v>16.5</v>
          </cell>
          <cell r="AM58">
            <v>1.4125000000000001</v>
          </cell>
          <cell r="AN58">
            <v>11.3</v>
          </cell>
          <cell r="AO58">
            <v>1.32</v>
          </cell>
          <cell r="AP58">
            <v>3</v>
          </cell>
          <cell r="AQ58" t="str">
            <v>N204470G</v>
          </cell>
          <cell r="AR58">
            <v>297</v>
          </cell>
          <cell r="AS58">
            <v>0.5</v>
          </cell>
          <cell r="AT58">
            <v>7.5</v>
          </cell>
          <cell r="AU58" t="str">
            <v/>
          </cell>
          <cell r="AV58">
            <v>8</v>
          </cell>
          <cell r="AW58">
            <v>2.1999999999999997</v>
          </cell>
          <cell r="AX58">
            <v>17.599999999999998</v>
          </cell>
          <cell r="AY58">
            <v>1.3420000000000001</v>
          </cell>
          <cell r="AZ58">
            <v>0</v>
          </cell>
          <cell r="BA58" t="str">
            <v>RJJ1300G</v>
          </cell>
          <cell r="BB58">
            <v>782</v>
          </cell>
          <cell r="BC58" t="str">
            <v/>
          </cell>
          <cell r="BD58" t="str">
            <v/>
          </cell>
          <cell r="BE58" t="str">
            <v/>
          </cell>
          <cell r="BF58" t="str">
            <v/>
          </cell>
          <cell r="BG58">
            <v>1.3</v>
          </cell>
          <cell r="BH58">
            <v>10.4</v>
          </cell>
          <cell r="BI58" t="str">
            <v/>
          </cell>
          <cell r="BJ58">
            <v>0</v>
          </cell>
          <cell r="BK58" t="str">
            <v>RJ07Z90G</v>
          </cell>
          <cell r="BL58">
            <v>693</v>
          </cell>
          <cell r="BM58" t="str">
            <v/>
          </cell>
          <cell r="BN58" t="str">
            <v/>
          </cell>
          <cell r="BO58" t="str">
            <v/>
          </cell>
          <cell r="BP58" t="str">
            <v/>
          </cell>
          <cell r="BQ58">
            <v>2.8625000000000003</v>
          </cell>
          <cell r="BR58">
            <v>22.900000000000002</v>
          </cell>
          <cell r="BS58" t="str">
            <v/>
          </cell>
          <cell r="BT58">
            <v>1</v>
          </cell>
          <cell r="BU58" t="str">
            <v>N203D50G</v>
          </cell>
          <cell r="BV58">
            <v>174</v>
          </cell>
          <cell r="BW58">
            <v>1</v>
          </cell>
          <cell r="BX58">
            <v>47.5</v>
          </cell>
          <cell r="BY58" t="str">
            <v/>
          </cell>
          <cell r="BZ58">
            <v>48.5</v>
          </cell>
          <cell r="CA58">
            <v>5.45</v>
          </cell>
          <cell r="CB58">
            <v>43.6</v>
          </cell>
          <cell r="CC58" t="str">
            <v/>
          </cell>
          <cell r="CD58" t="str">
            <v/>
          </cell>
        </row>
        <row r="59">
          <cell r="B59" t="str">
            <v>Jan Eman Zaldua</v>
          </cell>
          <cell r="C59" t="str">
            <v>RJJ1S40G</v>
          </cell>
          <cell r="D59">
            <v>788</v>
          </cell>
          <cell r="E59">
            <v>4</v>
          </cell>
          <cell r="F59">
            <v>19</v>
          </cell>
          <cell r="G59">
            <v>14</v>
          </cell>
          <cell r="H59">
            <v>37</v>
          </cell>
          <cell r="I59">
            <v>1.925</v>
          </cell>
          <cell r="J59">
            <v>15.4</v>
          </cell>
          <cell r="K59">
            <v>0.14899999999999999</v>
          </cell>
          <cell r="L59">
            <v>4</v>
          </cell>
          <cell r="M59" t="str">
            <v>RJ06H10G</v>
          </cell>
          <cell r="N59">
            <v>670</v>
          </cell>
          <cell r="O59">
            <v>2</v>
          </cell>
          <cell r="P59">
            <v>19</v>
          </cell>
          <cell r="Q59">
            <v>15</v>
          </cell>
          <cell r="R59">
            <v>36</v>
          </cell>
          <cell r="S59">
            <v>1.3125</v>
          </cell>
          <cell r="T59">
            <v>10.5</v>
          </cell>
          <cell r="U59">
            <v>0.123</v>
          </cell>
          <cell r="V59">
            <v>1</v>
          </cell>
          <cell r="W59" t="str">
            <v>N203110G</v>
          </cell>
          <cell r="X59">
            <v>89</v>
          </cell>
          <cell r="Y59">
            <v>2</v>
          </cell>
          <cell r="Z59">
            <v>8</v>
          </cell>
          <cell r="AA59">
            <v>24</v>
          </cell>
          <cell r="AB59">
            <v>34</v>
          </cell>
          <cell r="AC59">
            <v>2.8375000000000004</v>
          </cell>
          <cell r="AD59">
            <v>22.700000000000003</v>
          </cell>
          <cell r="AE59">
            <v>0.54900000000000004</v>
          </cell>
          <cell r="AF59">
            <v>8</v>
          </cell>
          <cell r="AG59" t="str">
            <v>N203111G</v>
          </cell>
          <cell r="AH59">
            <v>90</v>
          </cell>
          <cell r="AI59">
            <v>2</v>
          </cell>
          <cell r="AJ59">
            <v>16</v>
          </cell>
          <cell r="AK59">
            <v>18</v>
          </cell>
          <cell r="AL59">
            <v>36</v>
          </cell>
          <cell r="AM59">
            <v>2.2999999999999998</v>
          </cell>
          <cell r="AN59">
            <v>18.399999999999999</v>
          </cell>
          <cell r="AO59">
            <v>3.9140000000000001</v>
          </cell>
          <cell r="AP59">
            <v>9</v>
          </cell>
          <cell r="AQ59" t="str">
            <v>N209540G</v>
          </cell>
          <cell r="AR59">
            <v>417</v>
          </cell>
          <cell r="AS59">
            <v>3</v>
          </cell>
          <cell r="AT59">
            <v>25</v>
          </cell>
          <cell r="AU59">
            <v>16</v>
          </cell>
          <cell r="AV59">
            <v>44</v>
          </cell>
          <cell r="AW59">
            <v>2.85</v>
          </cell>
          <cell r="AX59">
            <v>22.8</v>
          </cell>
          <cell r="AY59">
            <v>2.12</v>
          </cell>
          <cell r="AZ59">
            <v>5</v>
          </cell>
          <cell r="BA59" t="str">
            <v>N212060G</v>
          </cell>
          <cell r="BB59">
            <v>424</v>
          </cell>
          <cell r="BC59">
            <v>4</v>
          </cell>
          <cell r="BD59">
            <v>16</v>
          </cell>
          <cell r="BE59">
            <v>14</v>
          </cell>
          <cell r="BF59">
            <v>34</v>
          </cell>
          <cell r="BG59">
            <v>2.9125000000000001</v>
          </cell>
          <cell r="BH59">
            <v>23.3</v>
          </cell>
          <cell r="BI59">
            <v>1.788</v>
          </cell>
          <cell r="BJ59">
            <v>9</v>
          </cell>
          <cell r="BK59" t="str">
            <v>RJ12070G</v>
          </cell>
          <cell r="BL59">
            <v>704</v>
          </cell>
          <cell r="BM59" t="str">
            <v/>
          </cell>
          <cell r="BN59" t="str">
            <v/>
          </cell>
          <cell r="BO59" t="str">
            <v/>
          </cell>
          <cell r="BP59" t="str">
            <v/>
          </cell>
          <cell r="BQ59">
            <v>1.325</v>
          </cell>
          <cell r="BR59">
            <v>10.6</v>
          </cell>
          <cell r="BS59" t="str">
            <v/>
          </cell>
          <cell r="BT59">
            <v>1</v>
          </cell>
          <cell r="BU59" t="str">
            <v>N207120G</v>
          </cell>
          <cell r="BV59">
            <v>370</v>
          </cell>
          <cell r="BW59">
            <v>1</v>
          </cell>
          <cell r="BX59">
            <v>5</v>
          </cell>
          <cell r="BY59">
            <v>5</v>
          </cell>
          <cell r="BZ59">
            <v>11</v>
          </cell>
          <cell r="CA59">
            <v>1.3</v>
          </cell>
          <cell r="CB59">
            <v>10.4</v>
          </cell>
          <cell r="CC59">
            <v>8.3000000000000004E-2</v>
          </cell>
          <cell r="CD59">
            <v>0</v>
          </cell>
        </row>
        <row r="60">
          <cell r="B60" t="str">
            <v>Reanzares, Marco Nino</v>
          </cell>
          <cell r="C60" t="str">
            <v>Z203Z30</v>
          </cell>
          <cell r="D60">
            <v>117</v>
          </cell>
          <cell r="E60">
            <v>2</v>
          </cell>
          <cell r="F60">
            <v>9</v>
          </cell>
          <cell r="G60">
            <v>6</v>
          </cell>
          <cell r="H60">
            <v>17</v>
          </cell>
          <cell r="I60">
            <v>1.3875</v>
          </cell>
          <cell r="J60">
            <v>11.1</v>
          </cell>
          <cell r="K60">
            <v>0.158</v>
          </cell>
          <cell r="L60">
            <v>2</v>
          </cell>
          <cell r="M60" t="str">
            <v>N203070</v>
          </cell>
          <cell r="N60">
            <v>83</v>
          </cell>
          <cell r="O60">
            <v>2</v>
          </cell>
          <cell r="P60">
            <v>12</v>
          </cell>
          <cell r="Q60">
            <v>8</v>
          </cell>
          <cell r="R60">
            <v>22</v>
          </cell>
          <cell r="S60">
            <v>2.9999999999999996</v>
          </cell>
          <cell r="T60">
            <v>23.999999999999996</v>
          </cell>
          <cell r="U60" t="str">
            <v/>
          </cell>
          <cell r="V60">
            <v>8</v>
          </cell>
          <cell r="W60" t="str">
            <v>N202660</v>
          </cell>
          <cell r="X60">
            <v>222</v>
          </cell>
          <cell r="Y60">
            <v>2</v>
          </cell>
          <cell r="Z60">
            <v>8</v>
          </cell>
          <cell r="AA60">
            <v>5</v>
          </cell>
          <cell r="AB60">
            <v>15</v>
          </cell>
          <cell r="AC60">
            <v>1.3625</v>
          </cell>
          <cell r="AD60">
            <v>10.9</v>
          </cell>
          <cell r="AE60">
            <v>5.6000000000000001E-2</v>
          </cell>
          <cell r="AF60">
            <v>4</v>
          </cell>
          <cell r="AG60" t="str">
            <v>N202VU0</v>
          </cell>
          <cell r="AH60">
            <v>18</v>
          </cell>
          <cell r="AI60">
            <v>2</v>
          </cell>
          <cell r="AJ60">
            <v>8</v>
          </cell>
          <cell r="AK60">
            <v>6</v>
          </cell>
          <cell r="AL60">
            <v>16</v>
          </cell>
          <cell r="AM60">
            <v>2.0125000000000002</v>
          </cell>
          <cell r="AN60">
            <v>16.100000000000001</v>
          </cell>
          <cell r="AO60">
            <v>0.24399999999999999</v>
          </cell>
          <cell r="AP60">
            <v>6</v>
          </cell>
          <cell r="AQ60" t="str">
            <v>Z202790</v>
          </cell>
          <cell r="AR60">
            <v>219</v>
          </cell>
          <cell r="AS60">
            <v>1</v>
          </cell>
          <cell r="AT60">
            <v>8</v>
          </cell>
          <cell r="AU60">
            <v>8</v>
          </cell>
          <cell r="AV60">
            <v>17</v>
          </cell>
          <cell r="AW60">
            <v>2.9250000000000003</v>
          </cell>
          <cell r="AX60">
            <v>23.400000000000002</v>
          </cell>
          <cell r="AY60">
            <v>3.3500000000000002E-2</v>
          </cell>
          <cell r="AZ60">
            <v>5</v>
          </cell>
          <cell r="BA60" t="str">
            <v>N202M50</v>
          </cell>
          <cell r="BB60">
            <v>68</v>
          </cell>
          <cell r="BC60">
            <v>2</v>
          </cell>
          <cell r="BD60">
            <v>8</v>
          </cell>
          <cell r="BE60">
            <v>6</v>
          </cell>
          <cell r="BF60">
            <v>16</v>
          </cell>
          <cell r="BG60">
            <v>1.375</v>
          </cell>
          <cell r="BH60">
            <v>11</v>
          </cell>
          <cell r="BI60">
            <v>0.123</v>
          </cell>
          <cell r="BJ60">
            <v>3</v>
          </cell>
          <cell r="BK60" t="str">
            <v>N202M70</v>
          </cell>
          <cell r="BL60">
            <v>71</v>
          </cell>
          <cell r="BM60">
            <v>2</v>
          </cell>
          <cell r="BN60">
            <v>7</v>
          </cell>
          <cell r="BO60">
            <v>6</v>
          </cell>
          <cell r="BP60">
            <v>15</v>
          </cell>
          <cell r="BQ60">
            <v>1.375</v>
          </cell>
          <cell r="BR60">
            <v>11</v>
          </cell>
          <cell r="BS60">
            <v>0.109</v>
          </cell>
          <cell r="BT60">
            <v>2</v>
          </cell>
          <cell r="BU60" t="str">
            <v>N284041</v>
          </cell>
          <cell r="BV60">
            <v>65</v>
          </cell>
          <cell r="BW60" t="str">
            <v/>
          </cell>
          <cell r="BX60" t="str">
            <v/>
          </cell>
          <cell r="BY60" t="str">
            <v/>
          </cell>
          <cell r="BZ60" t="str">
            <v/>
          </cell>
          <cell r="CA60">
            <v>6.25</v>
          </cell>
          <cell r="CB60">
            <v>50</v>
          </cell>
          <cell r="CC60">
            <v>4.7590000000000003</v>
          </cell>
          <cell r="CD60" t="str">
            <v/>
          </cell>
        </row>
        <row r="61">
          <cell r="B61" t="str">
            <v>Rodillas, Elaine</v>
          </cell>
          <cell r="C61" t="str">
            <v>N203500</v>
          </cell>
          <cell r="D61">
            <v>139</v>
          </cell>
          <cell r="E61">
            <v>1.5</v>
          </cell>
          <cell r="F61">
            <v>6</v>
          </cell>
          <cell r="G61">
            <v>3</v>
          </cell>
          <cell r="H61">
            <v>10.5</v>
          </cell>
          <cell r="I61">
            <v>1.375</v>
          </cell>
          <cell r="J61">
            <v>11</v>
          </cell>
          <cell r="K61">
            <v>7.5999999999999998E-2</v>
          </cell>
          <cell r="L61">
            <v>2</v>
          </cell>
          <cell r="M61" t="str">
            <v>N203860</v>
          </cell>
          <cell r="N61">
            <v>244</v>
          </cell>
          <cell r="O61">
            <v>0.5</v>
          </cell>
          <cell r="P61">
            <v>11</v>
          </cell>
          <cell r="Q61">
            <v>10</v>
          </cell>
          <cell r="R61">
            <v>21.5</v>
          </cell>
          <cell r="S61">
            <v>3.4125000000000001</v>
          </cell>
          <cell r="T61">
            <v>27.3</v>
          </cell>
          <cell r="U61">
            <v>0.39900000000000002</v>
          </cell>
          <cell r="V61" t="str">
            <v/>
          </cell>
          <cell r="W61" t="str">
            <v>Z203M30</v>
          </cell>
          <cell r="X61">
            <v>142</v>
          </cell>
          <cell r="Y61">
            <v>0.5</v>
          </cell>
          <cell r="Z61">
            <v>12.5</v>
          </cell>
          <cell r="AA61">
            <v>4</v>
          </cell>
          <cell r="AB61">
            <v>17</v>
          </cell>
          <cell r="AC61">
            <v>1.375</v>
          </cell>
          <cell r="AD61">
            <v>11</v>
          </cell>
          <cell r="AE61">
            <v>0.129</v>
          </cell>
          <cell r="AF61">
            <v>0</v>
          </cell>
          <cell r="AG61" t="str">
            <v>N203740</v>
          </cell>
          <cell r="AH61">
            <v>149</v>
          </cell>
          <cell r="AI61">
            <v>0.5</v>
          </cell>
          <cell r="AJ61">
            <v>4</v>
          </cell>
          <cell r="AK61">
            <v>4</v>
          </cell>
          <cell r="AL61">
            <v>8.5</v>
          </cell>
          <cell r="AM61">
            <v>1.3625</v>
          </cell>
          <cell r="AN61">
            <v>10.9</v>
          </cell>
          <cell r="AO61">
            <v>8.3000000000000004E-2</v>
          </cell>
          <cell r="AP61">
            <v>3</v>
          </cell>
          <cell r="AQ61" t="str">
            <v>Z200090</v>
          </cell>
          <cell r="AR61">
            <v>10</v>
          </cell>
          <cell r="AS61">
            <v>0.5</v>
          </cell>
          <cell r="AT61">
            <v>6.5</v>
          </cell>
          <cell r="AU61">
            <v>5</v>
          </cell>
          <cell r="AV61">
            <v>12</v>
          </cell>
          <cell r="AW61">
            <v>2.9000000000000004</v>
          </cell>
          <cell r="AX61">
            <v>23.200000000000003</v>
          </cell>
          <cell r="AY61">
            <v>0.377</v>
          </cell>
          <cell r="AZ61">
            <v>0</v>
          </cell>
          <cell r="BA61" t="str">
            <v>Z200091</v>
          </cell>
          <cell r="BB61">
            <v>11</v>
          </cell>
          <cell r="BC61">
            <v>0.5</v>
          </cell>
          <cell r="BD61">
            <v>5</v>
          </cell>
          <cell r="BE61">
            <v>6</v>
          </cell>
          <cell r="BF61">
            <v>11.5</v>
          </cell>
          <cell r="BG61">
            <v>2</v>
          </cell>
          <cell r="BH61">
            <v>16</v>
          </cell>
          <cell r="BI61">
            <v>0.53200000000000003</v>
          </cell>
          <cell r="BJ61">
            <v>4</v>
          </cell>
          <cell r="BK61" t="str">
            <v>N202B20</v>
          </cell>
          <cell r="BL61">
            <v>38</v>
          </cell>
          <cell r="BM61">
            <v>0.5</v>
          </cell>
          <cell r="BN61">
            <v>8</v>
          </cell>
          <cell r="BO61">
            <v>7</v>
          </cell>
          <cell r="BP61">
            <v>15.5</v>
          </cell>
          <cell r="BQ61">
            <v>1.4000000000000001</v>
          </cell>
          <cell r="BR61">
            <v>11.200000000000001</v>
          </cell>
          <cell r="BS61">
            <v>0.42599999999999999</v>
          </cell>
          <cell r="BT61">
            <v>2</v>
          </cell>
          <cell r="BU61" t="str">
            <v>N202320</v>
          </cell>
          <cell r="BV61">
            <v>41</v>
          </cell>
          <cell r="BW61">
            <v>0.5</v>
          </cell>
          <cell r="BX61">
            <v>9</v>
          </cell>
          <cell r="BY61">
            <v>4</v>
          </cell>
          <cell r="BZ61">
            <v>13.5</v>
          </cell>
          <cell r="CA61">
            <v>1.4125000000000001</v>
          </cell>
          <cell r="CB61">
            <v>11.3</v>
          </cell>
          <cell r="CC61">
            <v>0.34</v>
          </cell>
          <cell r="CD61">
            <v>1</v>
          </cell>
        </row>
        <row r="62">
          <cell r="B62" t="str">
            <v>Carlos, Ferdinand Louie</v>
          </cell>
          <cell r="C62" t="str">
            <v>N203170</v>
          </cell>
          <cell r="D62">
            <v>93</v>
          </cell>
          <cell r="E62">
            <v>1</v>
          </cell>
          <cell r="F62">
            <v>8</v>
          </cell>
          <cell r="H62">
            <v>9</v>
          </cell>
          <cell r="I62">
            <v>1.375</v>
          </cell>
          <cell r="J62">
            <v>11</v>
          </cell>
          <cell r="K62">
            <v>0.22700000000000001</v>
          </cell>
          <cell r="L62">
            <v>4</v>
          </cell>
          <cell r="M62" t="str">
            <v>Z203170</v>
          </cell>
          <cell r="N62">
            <v>94</v>
          </cell>
          <cell r="O62">
            <v>1</v>
          </cell>
          <cell r="P62">
            <v>5</v>
          </cell>
          <cell r="Q62">
            <v>5</v>
          </cell>
          <cell r="R62">
            <v>11</v>
          </cell>
          <cell r="S62">
            <v>1.375</v>
          </cell>
          <cell r="T62">
            <v>11</v>
          </cell>
          <cell r="U62">
            <v>0.247</v>
          </cell>
          <cell r="V62">
            <v>3</v>
          </cell>
          <cell r="W62" t="str">
            <v>TK02040</v>
          </cell>
          <cell r="X62">
            <v>240</v>
          </cell>
          <cell r="Y62">
            <v>0.5</v>
          </cell>
          <cell r="Z62">
            <v>3</v>
          </cell>
          <cell r="AA62">
            <v>5</v>
          </cell>
          <cell r="AB62">
            <v>8.5</v>
          </cell>
          <cell r="AC62">
            <v>2.9000000000000004</v>
          </cell>
          <cell r="AD62">
            <v>23.200000000000003</v>
          </cell>
          <cell r="AE62">
            <v>0.67700000000000005</v>
          </cell>
          <cell r="AF62">
            <v>1</v>
          </cell>
          <cell r="AG62" t="str">
            <v>Z203460</v>
          </cell>
          <cell r="AH62">
            <v>299</v>
          </cell>
          <cell r="AI62">
            <v>2</v>
          </cell>
          <cell r="AJ62">
            <v>8</v>
          </cell>
          <cell r="AK62">
            <v>5</v>
          </cell>
          <cell r="AL62">
            <v>15</v>
          </cell>
          <cell r="AM62">
            <v>1.3625</v>
          </cell>
          <cell r="AN62">
            <v>10.9</v>
          </cell>
          <cell r="AO62">
            <v>0.14799999999999999</v>
          </cell>
          <cell r="AP62">
            <v>10</v>
          </cell>
          <cell r="AQ62" t="str">
            <v>N203990</v>
          </cell>
          <cell r="AR62">
            <v>85</v>
          </cell>
          <cell r="AS62">
            <v>1</v>
          </cell>
          <cell r="AT62">
            <v>10</v>
          </cell>
          <cell r="AU62">
            <v>10</v>
          </cell>
          <cell r="AV62">
            <v>21</v>
          </cell>
          <cell r="AW62">
            <v>2.9874999999999998</v>
          </cell>
          <cell r="AX62">
            <v>23.9</v>
          </cell>
          <cell r="AY62">
            <v>1.389</v>
          </cell>
          <cell r="AZ62">
            <v>7</v>
          </cell>
          <cell r="BA62" t="str">
            <v>N203400</v>
          </cell>
          <cell r="BB62">
            <v>112</v>
          </cell>
          <cell r="BC62">
            <v>1</v>
          </cell>
          <cell r="BD62">
            <v>7</v>
          </cell>
          <cell r="BE62">
            <v>7</v>
          </cell>
          <cell r="BF62">
            <v>15</v>
          </cell>
          <cell r="BG62">
            <v>1.375</v>
          </cell>
          <cell r="BH62">
            <v>11</v>
          </cell>
          <cell r="BI62">
            <v>0.159</v>
          </cell>
          <cell r="BJ62">
            <v>5</v>
          </cell>
          <cell r="BK62" t="str">
            <v>N284030</v>
          </cell>
          <cell r="BL62">
            <v>63</v>
          </cell>
          <cell r="BM62">
            <v>3</v>
          </cell>
          <cell r="BN62">
            <v>7</v>
          </cell>
          <cell r="BO62">
            <v>10</v>
          </cell>
          <cell r="BP62">
            <v>20</v>
          </cell>
          <cell r="BQ62">
            <v>1.375</v>
          </cell>
          <cell r="BR62">
            <v>11</v>
          </cell>
          <cell r="BS62">
            <v>0.108</v>
          </cell>
          <cell r="BT62">
            <v>4</v>
          </cell>
          <cell r="BU62" t="str">
            <v>JK84050</v>
          </cell>
          <cell r="BV62">
            <v>66</v>
          </cell>
          <cell r="BW62">
            <v>1</v>
          </cell>
          <cell r="BX62">
            <v>6</v>
          </cell>
          <cell r="BY62">
            <v>7</v>
          </cell>
          <cell r="BZ62">
            <v>14</v>
          </cell>
          <cell r="CA62">
            <v>2.0125000000000002</v>
          </cell>
          <cell r="CB62">
            <v>16.100000000000001</v>
          </cell>
          <cell r="CC62">
            <v>0.22700000000000001</v>
          </cell>
          <cell r="CD62">
            <v>3</v>
          </cell>
        </row>
        <row r="63">
          <cell r="B63" t="str">
            <v>Dipon, Kate</v>
          </cell>
          <cell r="C63" t="str">
            <v>Z202MF0</v>
          </cell>
          <cell r="D63">
            <v>28</v>
          </cell>
          <cell r="E63">
            <v>1</v>
          </cell>
          <cell r="F63">
            <v>14</v>
          </cell>
          <cell r="H63">
            <v>15</v>
          </cell>
          <cell r="I63">
            <v>1.3625</v>
          </cell>
          <cell r="J63">
            <v>10.9</v>
          </cell>
          <cell r="K63">
            <v>0.11700000000000001</v>
          </cell>
          <cell r="L63">
            <v>8</v>
          </cell>
          <cell r="M63" t="str">
            <v>Z2K3M20</v>
          </cell>
          <cell r="N63">
            <v>96</v>
          </cell>
          <cell r="O63">
            <v>1</v>
          </cell>
          <cell r="P63">
            <v>15</v>
          </cell>
          <cell r="Q63">
            <v>10</v>
          </cell>
          <cell r="R63">
            <v>26</v>
          </cell>
          <cell r="S63">
            <v>1.3625</v>
          </cell>
          <cell r="T63">
            <v>10.9</v>
          </cell>
          <cell r="U63">
            <v>0.10100000000000001</v>
          </cell>
          <cell r="V63">
            <v>8</v>
          </cell>
          <cell r="W63" t="str">
            <v>Z203I40</v>
          </cell>
          <cell r="X63">
            <v>146</v>
          </cell>
          <cell r="Y63">
            <v>1</v>
          </cell>
          <cell r="Z63">
            <v>12</v>
          </cell>
          <cell r="AA63">
            <v>9</v>
          </cell>
          <cell r="AB63">
            <v>22</v>
          </cell>
          <cell r="AC63">
            <v>1.3625</v>
          </cell>
          <cell r="AD63">
            <v>10.9</v>
          </cell>
          <cell r="AE63">
            <v>0.193</v>
          </cell>
          <cell r="AF63">
            <v>6</v>
          </cell>
          <cell r="AG63" t="str">
            <v>Z206730</v>
          </cell>
          <cell r="AH63">
            <v>175</v>
          </cell>
          <cell r="AI63">
            <v>1</v>
          </cell>
          <cell r="AJ63">
            <v>15</v>
          </cell>
          <cell r="AK63">
            <v>8</v>
          </cell>
          <cell r="AL63">
            <v>24</v>
          </cell>
          <cell r="AM63">
            <v>1.3875</v>
          </cell>
          <cell r="AN63">
            <v>11.1</v>
          </cell>
          <cell r="AO63">
            <v>0.36499999999999999</v>
          </cell>
          <cell r="AP63">
            <v>7</v>
          </cell>
          <cell r="AQ63" t="str">
            <v>ZA84520</v>
          </cell>
          <cell r="AR63">
            <v>197</v>
          </cell>
          <cell r="AS63">
            <v>5</v>
          </cell>
          <cell r="AT63">
            <v>8</v>
          </cell>
          <cell r="AU63">
            <v>8</v>
          </cell>
          <cell r="AV63">
            <v>21</v>
          </cell>
          <cell r="AW63">
            <v>1.7750000000000001</v>
          </cell>
          <cell r="AX63">
            <v>14.200000000000001</v>
          </cell>
          <cell r="AY63">
            <v>0.217</v>
          </cell>
          <cell r="AZ63">
            <v>4</v>
          </cell>
          <cell r="BA63" t="str">
            <v>ZA84510</v>
          </cell>
          <cell r="BB63">
            <v>198</v>
          </cell>
          <cell r="BC63">
            <v>1</v>
          </cell>
          <cell r="BD63">
            <v>8</v>
          </cell>
          <cell r="BE63">
            <v>8</v>
          </cell>
          <cell r="BF63">
            <v>17</v>
          </cell>
          <cell r="BG63">
            <v>2</v>
          </cell>
          <cell r="BH63">
            <v>16</v>
          </cell>
          <cell r="BI63">
            <v>0.20499999999999999</v>
          </cell>
          <cell r="BJ63">
            <v>2</v>
          </cell>
          <cell r="BK63" t="str">
            <v>N240360</v>
          </cell>
          <cell r="BL63">
            <v>275</v>
          </cell>
          <cell r="BM63" t="str">
            <v/>
          </cell>
          <cell r="BN63" t="str">
            <v/>
          </cell>
          <cell r="BO63" t="str">
            <v/>
          </cell>
          <cell r="BP63" t="str">
            <v/>
          </cell>
          <cell r="BQ63">
            <v>2.9125000000000001</v>
          </cell>
          <cell r="BR63">
            <v>23.3</v>
          </cell>
          <cell r="BS63" t="str">
            <v/>
          </cell>
          <cell r="BT63" t="str">
            <v/>
          </cell>
          <cell r="BU63">
            <v>0</v>
          </cell>
          <cell r="BV63" t="e">
            <v>#N/A</v>
          </cell>
          <cell r="BZ63" t="str">
            <v/>
          </cell>
          <cell r="CC63" t="e">
            <v>#N/A</v>
          </cell>
          <cell r="CD63" t="e">
            <v>#N/A</v>
          </cell>
        </row>
        <row r="64">
          <cell r="B64" t="str">
            <v>Dominguez, Randy</v>
          </cell>
          <cell r="C64" t="str">
            <v>Z202MG0</v>
          </cell>
          <cell r="D64">
            <v>53</v>
          </cell>
          <cell r="E64">
            <v>2.5</v>
          </cell>
          <cell r="F64">
            <v>6</v>
          </cell>
          <cell r="G64">
            <v>16.5</v>
          </cell>
          <cell r="H64">
            <v>25</v>
          </cell>
          <cell r="I64">
            <v>1.3625</v>
          </cell>
          <cell r="J64">
            <v>10.9</v>
          </cell>
          <cell r="K64">
            <v>0.154</v>
          </cell>
          <cell r="L64">
            <v>7</v>
          </cell>
          <cell r="M64" t="str">
            <v>Z203220</v>
          </cell>
          <cell r="N64">
            <v>108</v>
          </cell>
          <cell r="O64">
            <v>1</v>
          </cell>
          <cell r="P64">
            <v>15</v>
          </cell>
          <cell r="Q64">
            <v>16</v>
          </cell>
          <cell r="R64">
            <v>32</v>
          </cell>
          <cell r="S64">
            <v>1.4000000000000001</v>
          </cell>
          <cell r="T64">
            <v>11.200000000000001</v>
          </cell>
          <cell r="U64">
            <v>0.36799999999999999</v>
          </cell>
          <cell r="V64">
            <v>4</v>
          </cell>
          <cell r="W64" t="str">
            <v>Z203Z40</v>
          </cell>
          <cell r="X64">
            <v>143</v>
          </cell>
          <cell r="Y64">
            <v>2</v>
          </cell>
          <cell r="Z64">
            <v>7</v>
          </cell>
          <cell r="AA64">
            <v>14</v>
          </cell>
          <cell r="AB64">
            <v>23</v>
          </cell>
          <cell r="AC64">
            <v>1.9875</v>
          </cell>
          <cell r="AD64">
            <v>15.9</v>
          </cell>
          <cell r="AE64">
            <v>0.09</v>
          </cell>
          <cell r="AF64">
            <v>2</v>
          </cell>
          <cell r="AG64" t="str">
            <v>Z240610</v>
          </cell>
          <cell r="AH64">
            <v>288</v>
          </cell>
          <cell r="AI64">
            <v>1</v>
          </cell>
          <cell r="AJ64">
            <v>9.5</v>
          </cell>
          <cell r="AK64">
            <v>10.5</v>
          </cell>
          <cell r="AL64">
            <v>21</v>
          </cell>
          <cell r="AM64">
            <v>2.5000000000000004</v>
          </cell>
          <cell r="AN64">
            <v>20.000000000000004</v>
          </cell>
          <cell r="AO64">
            <v>0.48399999999999999</v>
          </cell>
          <cell r="AP64">
            <v>6</v>
          </cell>
          <cell r="AQ64" t="str">
            <v>Z203A50</v>
          </cell>
          <cell r="AR64">
            <v>293</v>
          </cell>
          <cell r="AS64">
            <v>1</v>
          </cell>
          <cell r="AT64">
            <v>7</v>
          </cell>
          <cell r="AU64">
            <v>6</v>
          </cell>
          <cell r="AV64">
            <v>14</v>
          </cell>
          <cell r="AW64">
            <v>1.3625</v>
          </cell>
          <cell r="AX64">
            <v>10.9</v>
          </cell>
          <cell r="AY64">
            <v>4.5999999999999999E-2</v>
          </cell>
          <cell r="AZ64">
            <v>2</v>
          </cell>
          <cell r="BA64" t="str">
            <v>Z203G80</v>
          </cell>
          <cell r="BB64">
            <v>297</v>
          </cell>
          <cell r="BC64">
            <v>1</v>
          </cell>
          <cell r="BD64">
            <v>7</v>
          </cell>
          <cell r="BE64">
            <v>8.5</v>
          </cell>
          <cell r="BF64">
            <v>16.5</v>
          </cell>
          <cell r="BG64">
            <v>1.375</v>
          </cell>
          <cell r="BH64">
            <v>11</v>
          </cell>
          <cell r="BI64">
            <v>0.251</v>
          </cell>
          <cell r="BJ64">
            <v>10</v>
          </cell>
          <cell r="BK64" t="str">
            <v>Z203G90</v>
          </cell>
          <cell r="BL64">
            <v>298</v>
          </cell>
          <cell r="BM64">
            <v>1</v>
          </cell>
          <cell r="BN64">
            <v>10.5</v>
          </cell>
          <cell r="BO64">
            <v>6</v>
          </cell>
          <cell r="BP64">
            <v>17.5</v>
          </cell>
          <cell r="BQ64">
            <v>1.3875</v>
          </cell>
          <cell r="BR64">
            <v>11.1</v>
          </cell>
          <cell r="BS64">
            <v>0.27600000000000002</v>
          </cell>
          <cell r="BT64">
            <v>5</v>
          </cell>
          <cell r="BU64" t="str">
            <v>N240210</v>
          </cell>
          <cell r="BV64">
            <v>257</v>
          </cell>
          <cell r="BW64">
            <v>1</v>
          </cell>
          <cell r="BX64">
            <v>19</v>
          </cell>
          <cell r="BY64" t="str">
            <v/>
          </cell>
          <cell r="BZ64">
            <v>20</v>
          </cell>
          <cell r="CA64">
            <v>2.9125000000000001</v>
          </cell>
          <cell r="CB64">
            <v>23.3</v>
          </cell>
          <cell r="CC64">
            <v>2.7410000000000001</v>
          </cell>
          <cell r="CD64">
            <v>1</v>
          </cell>
        </row>
        <row r="65">
          <cell r="B65" t="str">
            <v>Ismael, Jose Fernando</v>
          </cell>
          <cell r="C65" t="str">
            <v>Z203MC0</v>
          </cell>
          <cell r="D65">
            <v>110</v>
          </cell>
          <cell r="E65">
            <v>2</v>
          </cell>
          <cell r="F65">
            <v>18</v>
          </cell>
          <cell r="G65">
            <v>11.5</v>
          </cell>
          <cell r="H65">
            <v>31.5</v>
          </cell>
          <cell r="I65">
            <v>1.3875</v>
          </cell>
          <cell r="J65">
            <v>11.1</v>
          </cell>
          <cell r="K65">
            <v>0.127</v>
          </cell>
          <cell r="L65">
            <v>2</v>
          </cell>
          <cell r="M65" t="str">
            <v>LJ02J20</v>
          </cell>
          <cell r="N65">
            <v>55</v>
          </cell>
          <cell r="O65">
            <v>2</v>
          </cell>
          <cell r="P65">
            <v>23</v>
          </cell>
          <cell r="Q65">
            <v>13</v>
          </cell>
          <cell r="R65">
            <v>38</v>
          </cell>
          <cell r="S65">
            <v>2.5125000000000002</v>
          </cell>
          <cell r="T65">
            <v>20.100000000000001</v>
          </cell>
          <cell r="U65">
            <v>0.41499999999999998</v>
          </cell>
          <cell r="V65">
            <v>4</v>
          </cell>
          <cell r="W65" t="str">
            <v>Z203570</v>
          </cell>
          <cell r="X65">
            <v>145</v>
          </cell>
          <cell r="Y65">
            <v>2</v>
          </cell>
          <cell r="Z65">
            <v>17</v>
          </cell>
          <cell r="AA65">
            <v>17</v>
          </cell>
          <cell r="AB65">
            <v>36</v>
          </cell>
          <cell r="AC65">
            <v>1.3875</v>
          </cell>
          <cell r="AD65">
            <v>11.1</v>
          </cell>
          <cell r="AE65">
            <v>0.2</v>
          </cell>
          <cell r="AF65">
            <v>3</v>
          </cell>
          <cell r="AG65" t="str">
            <v>N203C10</v>
          </cell>
          <cell r="AH65">
            <v>290</v>
          </cell>
          <cell r="AI65">
            <v>1</v>
          </cell>
          <cell r="AJ65">
            <v>8</v>
          </cell>
          <cell r="AK65">
            <v>13</v>
          </cell>
          <cell r="AL65">
            <v>22</v>
          </cell>
          <cell r="AM65">
            <v>1.375</v>
          </cell>
          <cell r="AN65">
            <v>11</v>
          </cell>
          <cell r="AO65">
            <v>9.0999999999999998E-2</v>
          </cell>
          <cell r="AP65">
            <v>0</v>
          </cell>
          <cell r="AQ65" t="str">
            <v>N202NF0</v>
          </cell>
          <cell r="AR65">
            <v>213</v>
          </cell>
          <cell r="AS65">
            <v>1</v>
          </cell>
          <cell r="AT65">
            <v>20</v>
          </cell>
          <cell r="AU65">
            <v>17</v>
          </cell>
          <cell r="AV65">
            <v>38</v>
          </cell>
          <cell r="AW65">
            <v>1.4000000000000001</v>
          </cell>
          <cell r="AX65">
            <v>11.200000000000001</v>
          </cell>
          <cell r="AY65">
            <v>0.41499999999999998</v>
          </cell>
          <cell r="AZ65">
            <v>0</v>
          </cell>
          <cell r="BA65" t="str">
            <v>N214030</v>
          </cell>
          <cell r="BB65">
            <v>227</v>
          </cell>
          <cell r="BC65">
            <v>1</v>
          </cell>
          <cell r="BD65">
            <v>21.5</v>
          </cell>
          <cell r="BE65" t="str">
            <v/>
          </cell>
          <cell r="BF65">
            <v>22.5</v>
          </cell>
          <cell r="BG65">
            <v>2.8875000000000002</v>
          </cell>
          <cell r="BH65">
            <v>23.1</v>
          </cell>
          <cell r="BI65" t="str">
            <v/>
          </cell>
          <cell r="BJ65">
            <v>0</v>
          </cell>
          <cell r="BK65" t="str">
            <v>Z203D40</v>
          </cell>
          <cell r="BL65">
            <v>186</v>
          </cell>
          <cell r="BM65">
            <v>2</v>
          </cell>
          <cell r="BN65">
            <v>23.5</v>
          </cell>
          <cell r="BO65">
            <v>19</v>
          </cell>
          <cell r="BP65">
            <v>44.5</v>
          </cell>
          <cell r="BQ65">
            <v>2.9000000000000004</v>
          </cell>
          <cell r="BR65">
            <v>23.200000000000003</v>
          </cell>
          <cell r="BS65">
            <v>0.52700000000000002</v>
          </cell>
          <cell r="BT65">
            <v>4</v>
          </cell>
          <cell r="BU65" t="str">
            <v>Z203D41</v>
          </cell>
          <cell r="BV65">
            <v>187</v>
          </cell>
          <cell r="BW65">
            <v>1.5</v>
          </cell>
          <cell r="BX65">
            <v>19</v>
          </cell>
          <cell r="BY65" t="str">
            <v/>
          </cell>
          <cell r="BZ65">
            <v>20.5</v>
          </cell>
          <cell r="CA65">
            <v>5.0625</v>
          </cell>
          <cell r="CB65">
            <v>40.5</v>
          </cell>
          <cell r="CC65" t="str">
            <v/>
          </cell>
          <cell r="CD65" t="str">
            <v/>
          </cell>
        </row>
        <row r="66">
          <cell r="B66" t="str">
            <v>Sanchez, Jaysie Ben</v>
          </cell>
          <cell r="C66" t="str">
            <v>Z702N80</v>
          </cell>
          <cell r="D66">
            <v>212</v>
          </cell>
          <cell r="E66">
            <v>1</v>
          </cell>
          <cell r="F66">
            <v>10.5</v>
          </cell>
          <cell r="G66">
            <v>9.5</v>
          </cell>
          <cell r="H66">
            <v>21</v>
          </cell>
          <cell r="I66">
            <v>1.3875</v>
          </cell>
          <cell r="J66">
            <v>11.1</v>
          </cell>
          <cell r="K66">
            <v>0.372</v>
          </cell>
          <cell r="L66">
            <v>4</v>
          </cell>
          <cell r="M66" t="str">
            <v>N202N90</v>
          </cell>
          <cell r="N66">
            <v>218</v>
          </cell>
          <cell r="O66">
            <v>1</v>
          </cell>
          <cell r="P66">
            <v>10</v>
          </cell>
          <cell r="Q66">
            <v>5.5</v>
          </cell>
          <cell r="R66">
            <v>16.5</v>
          </cell>
          <cell r="S66">
            <v>1.375</v>
          </cell>
          <cell r="T66">
            <v>11</v>
          </cell>
          <cell r="U66">
            <v>0.193</v>
          </cell>
          <cell r="V66">
            <v>4</v>
          </cell>
          <cell r="W66" t="str">
            <v>Z203H70</v>
          </cell>
          <cell r="X66">
            <v>305</v>
          </cell>
          <cell r="Y66">
            <v>1</v>
          </cell>
          <cell r="Z66">
            <v>5</v>
          </cell>
          <cell r="AA66">
            <v>6</v>
          </cell>
          <cell r="AB66">
            <v>12</v>
          </cell>
          <cell r="AC66">
            <v>1.375</v>
          </cell>
          <cell r="AD66">
            <v>11</v>
          </cell>
          <cell r="AE66">
            <v>0.158</v>
          </cell>
          <cell r="AF66">
            <v>1</v>
          </cell>
          <cell r="AG66" t="str">
            <v>Z203H80</v>
          </cell>
          <cell r="AH66">
            <v>306</v>
          </cell>
          <cell r="AI66">
            <v>1</v>
          </cell>
          <cell r="AJ66">
            <v>2.5</v>
          </cell>
          <cell r="AK66">
            <v>7.5</v>
          </cell>
          <cell r="AL66">
            <v>11</v>
          </cell>
          <cell r="AM66">
            <v>1.3875</v>
          </cell>
          <cell r="AN66">
            <v>11.1</v>
          </cell>
          <cell r="AO66">
            <v>0.19500000000000001</v>
          </cell>
          <cell r="AP66">
            <v>0</v>
          </cell>
          <cell r="AQ66" t="str">
            <v>Z702140</v>
          </cell>
          <cell r="AR66">
            <v>23</v>
          </cell>
          <cell r="AS66">
            <v>0.5</v>
          </cell>
          <cell r="AT66">
            <v>11</v>
          </cell>
          <cell r="AU66">
            <v>9</v>
          </cell>
          <cell r="AV66">
            <v>20.5</v>
          </cell>
          <cell r="AW66">
            <v>1.9875</v>
          </cell>
          <cell r="AX66">
            <v>15.9</v>
          </cell>
          <cell r="AY66">
            <v>9.7000000000000003E-2</v>
          </cell>
          <cell r="AZ66">
            <v>6</v>
          </cell>
          <cell r="BA66">
            <v>0</v>
          </cell>
          <cell r="BB66" t="e">
            <v>#N/A</v>
          </cell>
          <cell r="BC66"/>
          <cell r="BD66"/>
          <cell r="BE66"/>
          <cell r="BF66" t="str">
            <v/>
          </cell>
          <cell r="BG66"/>
          <cell r="BH66"/>
          <cell r="BI66" t="e">
            <v>#N/A</v>
          </cell>
          <cell r="BJ66" t="e">
            <v>#N/A</v>
          </cell>
          <cell r="BK66" t="str">
            <v>N240640</v>
          </cell>
          <cell r="BL66">
            <v>292</v>
          </cell>
          <cell r="BM66">
            <v>1</v>
          </cell>
          <cell r="BN66">
            <v>1</v>
          </cell>
          <cell r="BO66">
            <v>4</v>
          </cell>
          <cell r="BP66">
            <v>6</v>
          </cell>
          <cell r="BQ66">
            <v>1.9875</v>
          </cell>
          <cell r="BR66">
            <v>15.9</v>
          </cell>
          <cell r="BS66">
            <v>0.115</v>
          </cell>
          <cell r="BT66">
            <v>0</v>
          </cell>
          <cell r="BU66" t="str">
            <v>N240290</v>
          </cell>
          <cell r="BV66">
            <v>267</v>
          </cell>
          <cell r="BW66">
            <v>0.5</v>
          </cell>
          <cell r="BX66">
            <v>3</v>
          </cell>
          <cell r="BY66">
            <v>3.5</v>
          </cell>
          <cell r="BZ66">
            <v>7</v>
          </cell>
          <cell r="CA66">
            <v>1.3875</v>
          </cell>
          <cell r="CB66">
            <v>11.1</v>
          </cell>
          <cell r="CC66">
            <v>0.156</v>
          </cell>
          <cell r="CD66">
            <v>5</v>
          </cell>
        </row>
        <row r="67">
          <cell r="B67" t="str">
            <v>Tabia, Josue</v>
          </cell>
          <cell r="C67" t="str">
            <v>Z203MA0</v>
          </cell>
          <cell r="D67">
            <v>127</v>
          </cell>
          <cell r="E67">
            <v>4</v>
          </cell>
          <cell r="F67">
            <v>10</v>
          </cell>
          <cell r="G67">
            <v>15.5</v>
          </cell>
          <cell r="H67">
            <v>29.5</v>
          </cell>
          <cell r="I67">
            <v>1.3875</v>
          </cell>
          <cell r="J67">
            <v>11.1</v>
          </cell>
          <cell r="K67">
            <v>0.17799999999999999</v>
          </cell>
          <cell r="L67">
            <v>4</v>
          </cell>
          <cell r="M67" t="str">
            <v>N206560</v>
          </cell>
          <cell r="N67">
            <v>177</v>
          </cell>
          <cell r="O67">
            <v>1</v>
          </cell>
          <cell r="P67">
            <v>8</v>
          </cell>
          <cell r="Q67">
            <v>6</v>
          </cell>
          <cell r="R67">
            <v>15</v>
          </cell>
          <cell r="S67">
            <v>1.3875</v>
          </cell>
          <cell r="T67">
            <v>11.1</v>
          </cell>
          <cell r="U67">
            <v>0.13200000000000001</v>
          </cell>
          <cell r="V67">
            <v>7</v>
          </cell>
          <cell r="W67" t="str">
            <v>N2L1T40</v>
          </cell>
          <cell r="X67">
            <v>193</v>
          </cell>
          <cell r="Y67">
            <v>1.5</v>
          </cell>
          <cell r="Z67">
            <v>16</v>
          </cell>
          <cell r="AA67">
            <v>12.5</v>
          </cell>
          <cell r="AB67">
            <v>30</v>
          </cell>
          <cell r="AC67">
            <v>2.9000000000000004</v>
          </cell>
          <cell r="AD67">
            <v>23.200000000000003</v>
          </cell>
          <cell r="AE67">
            <v>0.52500000000000002</v>
          </cell>
          <cell r="AF67">
            <v>4</v>
          </cell>
          <cell r="AG67" t="str">
            <v>N2L1T41</v>
          </cell>
          <cell r="AH67">
            <v>194</v>
          </cell>
          <cell r="AI67">
            <v>1.5</v>
          </cell>
          <cell r="AJ67">
            <v>17</v>
          </cell>
          <cell r="AK67">
            <v>13.5</v>
          </cell>
          <cell r="AL67">
            <v>32</v>
          </cell>
          <cell r="AM67">
            <v>2.1749999999999998</v>
          </cell>
          <cell r="AN67">
            <v>17.399999999999999</v>
          </cell>
          <cell r="AO67">
            <v>1.3660000000000001</v>
          </cell>
          <cell r="AP67">
            <v>4</v>
          </cell>
          <cell r="AQ67" t="str">
            <v>Z2A3MG0</v>
          </cell>
          <cell r="AR67">
            <v>147</v>
          </cell>
          <cell r="AS67">
            <v>1</v>
          </cell>
          <cell r="AT67">
            <v>10</v>
          </cell>
          <cell r="AU67">
            <v>8</v>
          </cell>
          <cell r="AV67">
            <v>19</v>
          </cell>
          <cell r="AW67">
            <v>1.9875</v>
          </cell>
          <cell r="AX67">
            <v>15.9</v>
          </cell>
          <cell r="AY67">
            <v>8.7999999999999995E-2</v>
          </cell>
          <cell r="AZ67">
            <v>2</v>
          </cell>
          <cell r="BA67" t="str">
            <v>Z206520</v>
          </cell>
          <cell r="BB67">
            <v>191</v>
          </cell>
          <cell r="BC67">
            <v>1</v>
          </cell>
          <cell r="BD67">
            <v>12</v>
          </cell>
          <cell r="BE67">
            <v>5</v>
          </cell>
          <cell r="BF67">
            <v>18</v>
          </cell>
          <cell r="BG67">
            <v>1.3875</v>
          </cell>
          <cell r="BH67">
            <v>11.1</v>
          </cell>
          <cell r="BI67">
            <v>0.32500000000000001</v>
          </cell>
          <cell r="BJ67">
            <v>1</v>
          </cell>
          <cell r="BK67" t="str">
            <v>Z206500</v>
          </cell>
          <cell r="BL67">
            <v>171</v>
          </cell>
          <cell r="BM67">
            <v>2</v>
          </cell>
          <cell r="BN67">
            <v>30</v>
          </cell>
          <cell r="BO67">
            <v>31</v>
          </cell>
          <cell r="BP67">
            <v>63</v>
          </cell>
          <cell r="BQ67">
            <v>8.3375000000000004</v>
          </cell>
          <cell r="BR67">
            <v>66.7</v>
          </cell>
          <cell r="BS67">
            <v>3.2890000000000001</v>
          </cell>
          <cell r="BT67" t="str">
            <v/>
          </cell>
          <cell r="BU67" t="str">
            <v>N202490</v>
          </cell>
          <cell r="BV67">
            <v>59</v>
          </cell>
          <cell r="BW67">
            <v>3</v>
          </cell>
          <cell r="BX67">
            <v>7</v>
          </cell>
          <cell r="BY67">
            <v>8</v>
          </cell>
          <cell r="BZ67">
            <v>18</v>
          </cell>
          <cell r="CA67">
            <v>2.9000000000000004</v>
          </cell>
          <cell r="CB67">
            <v>23.200000000000003</v>
          </cell>
          <cell r="CC67">
            <v>0.1</v>
          </cell>
          <cell r="CD67">
            <v>1</v>
          </cell>
        </row>
        <row r="68">
          <cell r="B68" t="str">
            <v>Tago, Joey</v>
          </cell>
          <cell r="C68" t="str">
            <v>Z702100</v>
          </cell>
          <cell r="D68">
            <v>49</v>
          </cell>
          <cell r="E68">
            <v>1</v>
          </cell>
          <cell r="F68">
            <v>20</v>
          </cell>
          <cell r="G68">
            <v>14</v>
          </cell>
          <cell r="H68">
            <v>35</v>
          </cell>
          <cell r="I68">
            <v>1.3625</v>
          </cell>
          <cell r="J68">
            <v>10.9</v>
          </cell>
          <cell r="K68">
            <v>0.20699999999999999</v>
          </cell>
          <cell r="L68">
            <v>9</v>
          </cell>
          <cell r="M68" t="str">
            <v>Z203250</v>
          </cell>
          <cell r="N68">
            <v>104</v>
          </cell>
          <cell r="O68">
            <v>1</v>
          </cell>
          <cell r="P68">
            <v>18</v>
          </cell>
          <cell r="Q68">
            <v>13</v>
          </cell>
          <cell r="R68">
            <v>32</v>
          </cell>
          <cell r="S68">
            <v>1.3875</v>
          </cell>
          <cell r="T68">
            <v>11.1</v>
          </cell>
          <cell r="U68">
            <v>0.33300000000000002</v>
          </cell>
          <cell r="V68">
            <v>3</v>
          </cell>
          <cell r="W68" t="str">
            <v>Z702050</v>
          </cell>
          <cell r="X68">
            <v>242</v>
          </cell>
          <cell r="Y68">
            <v>1</v>
          </cell>
          <cell r="Z68">
            <v>28</v>
          </cell>
          <cell r="AA68">
            <v>10</v>
          </cell>
          <cell r="AB68">
            <v>39</v>
          </cell>
          <cell r="AC68">
            <v>2.8750000000000004</v>
          </cell>
          <cell r="AD68">
            <v>23.000000000000004</v>
          </cell>
          <cell r="AE68">
            <v>0.24299999999999999</v>
          </cell>
          <cell r="AF68">
            <v>3</v>
          </cell>
          <cell r="AG68" t="str">
            <v>N203R70</v>
          </cell>
          <cell r="AH68">
            <v>140</v>
          </cell>
          <cell r="AI68">
            <v>1</v>
          </cell>
          <cell r="AJ68">
            <v>16</v>
          </cell>
          <cell r="AK68">
            <v>3</v>
          </cell>
          <cell r="AL68">
            <v>20</v>
          </cell>
          <cell r="AM68">
            <v>1.375</v>
          </cell>
          <cell r="AN68">
            <v>11</v>
          </cell>
          <cell r="AO68">
            <v>0.1</v>
          </cell>
          <cell r="AP68">
            <v>1</v>
          </cell>
          <cell r="AQ68" t="str">
            <v>N20D150</v>
          </cell>
          <cell r="AR68">
            <v>134</v>
          </cell>
          <cell r="AS68">
            <v>1</v>
          </cell>
          <cell r="AT68">
            <v>17</v>
          </cell>
          <cell r="AU68">
            <v>11</v>
          </cell>
          <cell r="AV68">
            <v>29</v>
          </cell>
          <cell r="AW68">
            <v>2.5000000000000004</v>
          </cell>
          <cell r="AX68">
            <v>20.000000000000004</v>
          </cell>
          <cell r="AY68">
            <v>0.13900000000000001</v>
          </cell>
          <cell r="AZ68">
            <v>2</v>
          </cell>
          <cell r="BA68" t="str">
            <v>Z203C20</v>
          </cell>
          <cell r="BB68">
            <v>136</v>
          </cell>
          <cell r="BC68">
            <v>1</v>
          </cell>
          <cell r="BD68">
            <v>12</v>
          </cell>
          <cell r="BE68">
            <v>15</v>
          </cell>
          <cell r="BF68">
            <v>28</v>
          </cell>
          <cell r="BG68">
            <v>1.75</v>
          </cell>
          <cell r="BH68">
            <v>14</v>
          </cell>
          <cell r="BI68" t="str">
            <v/>
          </cell>
          <cell r="BJ68" t="str">
            <v/>
          </cell>
          <cell r="BK68" t="str">
            <v>Z203210</v>
          </cell>
          <cell r="BL68">
            <v>137</v>
          </cell>
          <cell r="BM68">
            <v>1</v>
          </cell>
          <cell r="BN68">
            <v>14</v>
          </cell>
          <cell r="BO68">
            <v>12</v>
          </cell>
          <cell r="BP68">
            <v>27</v>
          </cell>
          <cell r="BQ68">
            <v>1.375</v>
          </cell>
          <cell r="BR68">
            <v>11</v>
          </cell>
          <cell r="BS68">
            <v>0.76700000000000002</v>
          </cell>
          <cell r="BT68" t="str">
            <v/>
          </cell>
          <cell r="BU68" t="str">
            <v>Z240Y10</v>
          </cell>
          <cell r="BV68">
            <v>249</v>
          </cell>
          <cell r="BW68">
            <v>1</v>
          </cell>
          <cell r="BX68">
            <v>15</v>
          </cell>
          <cell r="BY68">
            <v>6</v>
          </cell>
          <cell r="BZ68">
            <v>22</v>
          </cell>
          <cell r="CA68">
            <v>3.2875000000000001</v>
          </cell>
          <cell r="CB68">
            <v>26.3</v>
          </cell>
          <cell r="CC68">
            <v>1.2430000000000001</v>
          </cell>
          <cell r="CD68">
            <v>4</v>
          </cell>
        </row>
        <row r="69">
          <cell r="B69" t="str">
            <v>Villafranca, Rchiebal Alberr</v>
          </cell>
          <cell r="C69" t="str">
            <v>ZA03E00</v>
          </cell>
          <cell r="D69">
            <v>286</v>
          </cell>
          <cell r="E69">
            <v>1</v>
          </cell>
          <cell r="F69">
            <v>27</v>
          </cell>
          <cell r="G69">
            <v>10</v>
          </cell>
          <cell r="H69">
            <v>38</v>
          </cell>
          <cell r="I69">
            <v>1.3625</v>
          </cell>
          <cell r="J69">
            <v>10.9</v>
          </cell>
          <cell r="K69">
            <v>0.11700000000000001</v>
          </cell>
          <cell r="L69">
            <v>7</v>
          </cell>
          <cell r="M69" t="str">
            <v>Z240600</v>
          </cell>
          <cell r="N69">
            <v>287</v>
          </cell>
          <cell r="O69">
            <v>1</v>
          </cell>
          <cell r="P69">
            <v>20</v>
          </cell>
          <cell r="Q69">
            <v>10.5</v>
          </cell>
          <cell r="R69">
            <v>31.5</v>
          </cell>
          <cell r="S69">
            <v>2.5000000000000004</v>
          </cell>
          <cell r="T69">
            <v>20.000000000000004</v>
          </cell>
          <cell r="U69">
            <v>0.252</v>
          </cell>
          <cell r="V69">
            <v>9</v>
          </cell>
          <cell r="W69" t="str">
            <v>Z202M10</v>
          </cell>
          <cell r="X69">
            <v>52</v>
          </cell>
          <cell r="Y69">
            <v>1</v>
          </cell>
          <cell r="Z69">
            <v>15</v>
          </cell>
          <cell r="AA69">
            <v>9</v>
          </cell>
          <cell r="AB69">
            <v>25</v>
          </cell>
          <cell r="AC69">
            <v>1.375</v>
          </cell>
          <cell r="AD69">
            <v>11</v>
          </cell>
          <cell r="AE69">
            <v>0.104</v>
          </cell>
          <cell r="AF69">
            <v>14</v>
          </cell>
          <cell r="AG69" t="str">
            <v>Z203M80</v>
          </cell>
          <cell r="AH69">
            <v>107</v>
          </cell>
          <cell r="AI69">
            <v>1</v>
          </cell>
          <cell r="AJ69">
            <v>18</v>
          </cell>
          <cell r="AK69">
            <v>15</v>
          </cell>
          <cell r="AL69">
            <v>34</v>
          </cell>
          <cell r="AM69">
            <v>1.7750000000000001</v>
          </cell>
          <cell r="AN69">
            <v>14.200000000000001</v>
          </cell>
          <cell r="AO69">
            <v>0.3</v>
          </cell>
          <cell r="AP69">
            <v>2</v>
          </cell>
          <cell r="AQ69" t="str">
            <v>Z203480</v>
          </cell>
          <cell r="AR69">
            <v>304</v>
          </cell>
          <cell r="AS69">
            <v>1</v>
          </cell>
          <cell r="AT69">
            <v>12</v>
          </cell>
          <cell r="AU69">
            <v>15</v>
          </cell>
          <cell r="AV69">
            <v>28</v>
          </cell>
          <cell r="AW69">
            <v>1.3875</v>
          </cell>
          <cell r="AX69">
            <v>11.1</v>
          </cell>
          <cell r="AY69">
            <v>0.3</v>
          </cell>
          <cell r="AZ69">
            <v>3</v>
          </cell>
          <cell r="BA69" t="str">
            <v>N250510</v>
          </cell>
          <cell r="BB69">
            <v>307</v>
          </cell>
          <cell r="BC69" t="str">
            <v/>
          </cell>
          <cell r="BD69" t="str">
            <v/>
          </cell>
          <cell r="BE69" t="str">
            <v/>
          </cell>
          <cell r="BF69" t="str">
            <v/>
          </cell>
          <cell r="BG69">
            <v>2.4875000000000003</v>
          </cell>
          <cell r="BH69">
            <v>19.900000000000002</v>
          </cell>
          <cell r="BI69" t="str">
            <v/>
          </cell>
          <cell r="BJ69" t="str">
            <v/>
          </cell>
          <cell r="BK69" t="str">
            <v>N240410</v>
          </cell>
          <cell r="BL69">
            <v>282</v>
          </cell>
          <cell r="BM69" t="str">
            <v/>
          </cell>
          <cell r="BN69" t="str">
            <v/>
          </cell>
          <cell r="BO69" t="str">
            <v/>
          </cell>
          <cell r="BP69" t="str">
            <v/>
          </cell>
          <cell r="BQ69">
            <v>3.2875000000000001</v>
          </cell>
          <cell r="BR69">
            <v>26.3</v>
          </cell>
          <cell r="BS69" t="str">
            <v/>
          </cell>
          <cell r="BT69" t="str">
            <v/>
          </cell>
          <cell r="BU69" t="str">
            <v>N240411</v>
          </cell>
          <cell r="BV69">
            <v>283</v>
          </cell>
          <cell r="BW69" t="str">
            <v/>
          </cell>
          <cell r="BX69" t="str">
            <v/>
          </cell>
          <cell r="BY69" t="str">
            <v/>
          </cell>
          <cell r="BZ69" t="str">
            <v/>
          </cell>
          <cell r="CA69">
            <v>3.0999999999999996</v>
          </cell>
          <cell r="CB69">
            <v>24.799999999999997</v>
          </cell>
          <cell r="CC69" t="str">
            <v/>
          </cell>
          <cell r="CD69" t="str">
            <v/>
          </cell>
        </row>
        <row r="70">
          <cell r="B70" t="str">
            <v>Yu, Kevin</v>
          </cell>
          <cell r="C70" t="str">
            <v>N203370</v>
          </cell>
          <cell r="D70">
            <v>99</v>
          </cell>
          <cell r="E70">
            <v>2</v>
          </cell>
          <cell r="F70">
            <v>63</v>
          </cell>
          <cell r="G70">
            <v>40</v>
          </cell>
          <cell r="H70">
            <v>105</v>
          </cell>
          <cell r="I70">
            <v>1.3625</v>
          </cell>
          <cell r="J70">
            <v>10.9</v>
          </cell>
          <cell r="K70">
            <v>0.14499999999999999</v>
          </cell>
          <cell r="L70">
            <v>8</v>
          </cell>
          <cell r="M70" t="str">
            <v>TK02030</v>
          </cell>
          <cell r="N70">
            <v>239</v>
          </cell>
          <cell r="O70">
            <v>3</v>
          </cell>
          <cell r="P70">
            <v>49</v>
          </cell>
          <cell r="Q70">
            <v>50</v>
          </cell>
          <cell r="R70">
            <v>102</v>
          </cell>
          <cell r="S70">
            <v>5.3250000000000002</v>
          </cell>
          <cell r="T70">
            <v>42.6</v>
          </cell>
          <cell r="U70">
            <v>3.722</v>
          </cell>
          <cell r="V70">
            <v>3</v>
          </cell>
          <cell r="W70" t="str">
            <v>N202H40</v>
          </cell>
          <cell r="X70">
            <v>42</v>
          </cell>
          <cell r="Y70">
            <v>2</v>
          </cell>
          <cell r="Z70">
            <v>10</v>
          </cell>
          <cell r="AA70">
            <v>32</v>
          </cell>
          <cell r="AB70">
            <v>44</v>
          </cell>
          <cell r="AC70">
            <v>2.9125000000000001</v>
          </cell>
          <cell r="AD70">
            <v>23.3</v>
          </cell>
          <cell r="AE70">
            <v>0.157</v>
          </cell>
          <cell r="AF70">
            <v>3</v>
          </cell>
          <cell r="AG70" t="str">
            <v>N203120</v>
          </cell>
          <cell r="AH70">
            <v>90</v>
          </cell>
          <cell r="AI70">
            <v>2</v>
          </cell>
          <cell r="AJ70">
            <v>18</v>
          </cell>
          <cell r="AK70">
            <v>20</v>
          </cell>
          <cell r="AL70">
            <v>40</v>
          </cell>
          <cell r="AM70">
            <v>3.2750000000000004</v>
          </cell>
          <cell r="AN70">
            <v>26.200000000000003</v>
          </cell>
          <cell r="AO70">
            <v>0.7</v>
          </cell>
          <cell r="AP70">
            <v>5</v>
          </cell>
          <cell r="AQ70" t="str">
            <v>N240110</v>
          </cell>
          <cell r="AR70">
            <v>251</v>
          </cell>
          <cell r="AS70">
            <v>1</v>
          </cell>
          <cell r="AT70">
            <v>17.5</v>
          </cell>
          <cell r="AU70">
            <v>25</v>
          </cell>
          <cell r="AV70">
            <v>43.5</v>
          </cell>
          <cell r="AW70">
            <v>2.9125000000000001</v>
          </cell>
          <cell r="AX70">
            <v>23.3</v>
          </cell>
          <cell r="AY70">
            <v>0.53</v>
          </cell>
          <cell r="AZ70">
            <v>2</v>
          </cell>
          <cell r="BA70" t="str">
            <v>N240140</v>
          </cell>
          <cell r="BB70">
            <v>253</v>
          </cell>
          <cell r="BC70"/>
          <cell r="BD70"/>
          <cell r="BE70"/>
          <cell r="BF70" t="str">
            <v/>
          </cell>
          <cell r="BG70">
            <v>2.5000000000000004</v>
          </cell>
          <cell r="BH70">
            <v>20.000000000000004</v>
          </cell>
          <cell r="BI70" t="str">
            <v/>
          </cell>
          <cell r="BJ70" t="str">
            <v/>
          </cell>
          <cell r="BK70">
            <v>0</v>
          </cell>
          <cell r="BL70" t="e">
            <v>#N/A</v>
          </cell>
          <cell r="BP70" t="str">
            <v/>
          </cell>
          <cell r="BS70" t="e">
            <v>#N/A</v>
          </cell>
          <cell r="BT70" t="e">
            <v>#N/A</v>
          </cell>
          <cell r="BU70" t="str">
            <v>KU40500</v>
          </cell>
          <cell r="BV70" t="e">
            <v>#N/A</v>
          </cell>
          <cell r="BZ70" t="str">
            <v/>
          </cell>
          <cell r="CC70" t="e">
            <v>#N/A</v>
          </cell>
          <cell r="CD70" t="e">
            <v>#N/A</v>
          </cell>
        </row>
        <row r="71">
          <cell r="B71" t="str">
            <v>Bautista, William Wallace</v>
          </cell>
          <cell r="C71" t="str">
            <v>Z203110</v>
          </cell>
          <cell r="D71">
            <v>91</v>
          </cell>
          <cell r="E71">
            <v>2</v>
          </cell>
          <cell r="F71">
            <v>27</v>
          </cell>
          <cell r="G71">
            <v>7</v>
          </cell>
          <cell r="H71">
            <v>36</v>
          </cell>
          <cell r="I71">
            <v>2.9000000000000004</v>
          </cell>
          <cell r="J71">
            <v>23.200000000000003</v>
          </cell>
          <cell r="K71">
            <v>0.26400000000000001</v>
          </cell>
          <cell r="L71">
            <v>6</v>
          </cell>
          <cell r="M71" t="str">
            <v>Z203111</v>
          </cell>
          <cell r="N71">
            <v>92</v>
          </cell>
          <cell r="O71">
            <v>1</v>
          </cell>
          <cell r="P71">
            <v>38</v>
          </cell>
          <cell r="Q71">
            <v>13</v>
          </cell>
          <cell r="R71">
            <v>52</v>
          </cell>
          <cell r="S71">
            <v>2.375</v>
          </cell>
          <cell r="T71">
            <v>19</v>
          </cell>
          <cell r="U71">
            <v>0.109</v>
          </cell>
          <cell r="V71">
            <v>4</v>
          </cell>
          <cell r="W71" t="str">
            <v>Z203ML0</v>
          </cell>
          <cell r="X71">
            <v>130</v>
          </cell>
          <cell r="Y71">
            <v>2</v>
          </cell>
          <cell r="Z71">
            <v>22</v>
          </cell>
          <cell r="AA71">
            <v>5</v>
          </cell>
          <cell r="AB71">
            <v>29</v>
          </cell>
          <cell r="AC71">
            <v>2</v>
          </cell>
          <cell r="AD71">
            <v>16</v>
          </cell>
          <cell r="AE71">
            <v>9.2999999999999999E-2</v>
          </cell>
          <cell r="AF71">
            <v>2</v>
          </cell>
          <cell r="AG71" t="str">
            <v>N203160</v>
          </cell>
          <cell r="AH71">
            <v>88</v>
          </cell>
          <cell r="AI71">
            <v>2</v>
          </cell>
          <cell r="AJ71">
            <v>26</v>
          </cell>
          <cell r="AK71">
            <v>7</v>
          </cell>
          <cell r="AL71">
            <v>35</v>
          </cell>
          <cell r="AM71">
            <v>1.375</v>
          </cell>
          <cell r="AN71">
            <v>11</v>
          </cell>
          <cell r="AO71">
            <v>0.223</v>
          </cell>
          <cell r="AP71">
            <v>3</v>
          </cell>
          <cell r="AQ71" t="str">
            <v>Z203160</v>
          </cell>
          <cell r="AR71">
            <v>89</v>
          </cell>
          <cell r="AS71">
            <v>2</v>
          </cell>
          <cell r="AT71">
            <v>18</v>
          </cell>
          <cell r="AU71">
            <v>7</v>
          </cell>
          <cell r="AV71">
            <v>27</v>
          </cell>
          <cell r="AW71">
            <v>1.375</v>
          </cell>
          <cell r="AX71">
            <v>11</v>
          </cell>
          <cell r="AY71">
            <v>0.28299999999999997</v>
          </cell>
          <cell r="AZ71">
            <v>5</v>
          </cell>
          <cell r="BA71">
            <v>0</v>
          </cell>
          <cell r="BB71" t="e">
            <v>#N/A</v>
          </cell>
          <cell r="BF71" t="str">
            <v/>
          </cell>
          <cell r="BI71" t="e">
            <v>#N/A</v>
          </cell>
          <cell r="BJ71" t="e">
            <v>#N/A</v>
          </cell>
          <cell r="BK71">
            <v>0</v>
          </cell>
          <cell r="BL71" t="e">
            <v>#N/A</v>
          </cell>
          <cell r="BP71" t="str">
            <v/>
          </cell>
          <cell r="BS71" t="e">
            <v>#N/A</v>
          </cell>
          <cell r="BT71" t="e">
            <v>#N/A</v>
          </cell>
          <cell r="BU71" t="str">
            <v>Z240280</v>
          </cell>
          <cell r="BV71">
            <v>266</v>
          </cell>
          <cell r="BW71">
            <v>1</v>
          </cell>
          <cell r="BX71">
            <v>12</v>
          </cell>
          <cell r="BY71" t="str">
            <v/>
          </cell>
          <cell r="BZ71">
            <v>13</v>
          </cell>
          <cell r="CA71">
            <v>1.3875</v>
          </cell>
          <cell r="CB71">
            <v>11.1</v>
          </cell>
          <cell r="CC71">
            <v>0.05</v>
          </cell>
          <cell r="CD71">
            <v>2</v>
          </cell>
        </row>
        <row r="72">
          <cell r="B72" t="str">
            <v>Budol, Kelly</v>
          </cell>
          <cell r="C72" t="str">
            <v>Z202ND0</v>
          </cell>
          <cell r="D72">
            <v>216</v>
          </cell>
          <cell r="E72">
            <v>0.5</v>
          </cell>
          <cell r="F72">
            <v>16</v>
          </cell>
          <cell r="G72">
            <v>16</v>
          </cell>
          <cell r="H72">
            <v>32.5</v>
          </cell>
          <cell r="I72">
            <v>2.95</v>
          </cell>
          <cell r="J72">
            <v>23.6</v>
          </cell>
          <cell r="K72">
            <v>5.49</v>
          </cell>
          <cell r="L72">
            <v>6</v>
          </cell>
          <cell r="M72" t="str">
            <v>Z202ND1</v>
          </cell>
          <cell r="N72">
            <v>217</v>
          </cell>
          <cell r="O72">
            <v>0.5</v>
          </cell>
          <cell r="P72">
            <v>10</v>
          </cell>
          <cell r="Q72">
            <v>9.5</v>
          </cell>
          <cell r="R72">
            <v>20</v>
          </cell>
          <cell r="S72">
            <v>4.7875000000000005</v>
          </cell>
          <cell r="T72">
            <v>38.300000000000004</v>
          </cell>
          <cell r="U72">
            <v>2.7189999999999999</v>
          </cell>
          <cell r="V72">
            <v>9</v>
          </cell>
          <cell r="W72" t="str">
            <v>Z203MV0</v>
          </cell>
          <cell r="X72">
            <v>122</v>
          </cell>
          <cell r="Y72">
            <v>0.5</v>
          </cell>
          <cell r="Z72">
            <v>6.5</v>
          </cell>
          <cell r="AA72">
            <v>8</v>
          </cell>
          <cell r="AB72">
            <v>15</v>
          </cell>
          <cell r="AC72">
            <v>1.375</v>
          </cell>
          <cell r="AD72">
            <v>11</v>
          </cell>
          <cell r="AE72">
            <v>0.156</v>
          </cell>
          <cell r="AF72">
            <v>5</v>
          </cell>
          <cell r="AG72" t="str">
            <v>N203R90</v>
          </cell>
          <cell r="AH72">
            <v>141</v>
          </cell>
          <cell r="AI72">
            <v>0.5</v>
          </cell>
          <cell r="AJ72">
            <v>8</v>
          </cell>
          <cell r="AK72">
            <v>8</v>
          </cell>
          <cell r="AL72">
            <v>16.5</v>
          </cell>
          <cell r="AM72">
            <v>1.375</v>
          </cell>
          <cell r="AN72">
            <v>11</v>
          </cell>
          <cell r="AO72">
            <v>0.06</v>
          </cell>
          <cell r="AP72">
            <v>5</v>
          </cell>
          <cell r="AQ72" t="str">
            <v>N203720</v>
          </cell>
          <cell r="AR72">
            <v>148</v>
          </cell>
          <cell r="AS72">
            <v>0.5</v>
          </cell>
          <cell r="AT72">
            <v>8</v>
          </cell>
          <cell r="AU72">
            <v>8</v>
          </cell>
          <cell r="AV72">
            <v>16.5</v>
          </cell>
          <cell r="AW72">
            <v>1.3625</v>
          </cell>
          <cell r="AX72">
            <v>10.9</v>
          </cell>
          <cell r="AY72">
            <v>5.7000000000000002E-2</v>
          </cell>
          <cell r="AZ72">
            <v>10</v>
          </cell>
          <cell r="BA72" t="str">
            <v>N240310</v>
          </cell>
          <cell r="BB72">
            <v>269</v>
          </cell>
          <cell r="BC72">
            <v>0.5</v>
          </cell>
          <cell r="BD72">
            <v>20</v>
          </cell>
          <cell r="BE72">
            <v>20</v>
          </cell>
          <cell r="BF72">
            <v>40.5</v>
          </cell>
          <cell r="BG72">
            <v>2.9125000000000001</v>
          </cell>
          <cell r="BH72">
            <v>23.3</v>
          </cell>
          <cell r="BI72">
            <v>2.8</v>
          </cell>
          <cell r="BJ72">
            <v>6</v>
          </cell>
          <cell r="BK72" t="str">
            <v>N240311</v>
          </cell>
          <cell r="BL72">
            <v>270</v>
          </cell>
          <cell r="BM72">
            <v>1</v>
          </cell>
          <cell r="BN72">
            <v>14.5</v>
          </cell>
          <cell r="BO72">
            <v>16</v>
          </cell>
          <cell r="BP72">
            <v>31.5</v>
          </cell>
          <cell r="BQ72">
            <v>3.0999999999999996</v>
          </cell>
          <cell r="BR72">
            <v>24.799999999999997</v>
          </cell>
          <cell r="BS72">
            <v>4.6319999999999997</v>
          </cell>
          <cell r="BT72">
            <v>5</v>
          </cell>
          <cell r="BU72">
            <v>0</v>
          </cell>
          <cell r="BV72" t="e">
            <v>#N/A</v>
          </cell>
          <cell r="BW72"/>
          <cell r="BX72"/>
          <cell r="BY72"/>
          <cell r="BZ72" t="str">
            <v/>
          </cell>
          <cell r="CA72"/>
          <cell r="CB72"/>
          <cell r="CC72" t="e">
            <v>#N/A</v>
          </cell>
          <cell r="CD72" t="e">
            <v>#N/A</v>
          </cell>
        </row>
        <row r="73">
          <cell r="B73" t="str">
            <v>Cortez, John</v>
          </cell>
          <cell r="C73" t="str">
            <v>Z206MB0</v>
          </cell>
          <cell r="D73">
            <v>196</v>
          </cell>
          <cell r="E73">
            <v>1</v>
          </cell>
          <cell r="F73">
            <v>16</v>
          </cell>
          <cell r="G73">
            <v>15</v>
          </cell>
          <cell r="H73">
            <v>32</v>
          </cell>
          <cell r="I73">
            <v>1.375</v>
          </cell>
          <cell r="J73">
            <v>11</v>
          </cell>
          <cell r="K73">
            <v>0.27</v>
          </cell>
          <cell r="L73">
            <v>3</v>
          </cell>
          <cell r="M73" t="str">
            <v>N216110</v>
          </cell>
          <cell r="N73">
            <v>241</v>
          </cell>
          <cell r="O73">
            <v>1</v>
          </cell>
          <cell r="P73">
            <v>36.5</v>
          </cell>
          <cell r="Q73">
            <v>35</v>
          </cell>
          <cell r="R73">
            <v>72.5</v>
          </cell>
          <cell r="S73">
            <v>2.95</v>
          </cell>
          <cell r="T73">
            <v>23.6</v>
          </cell>
          <cell r="U73">
            <v>1.056</v>
          </cell>
          <cell r="V73" t="str">
            <v/>
          </cell>
          <cell r="W73" t="str">
            <v>N214060</v>
          </cell>
          <cell r="X73">
            <v>229</v>
          </cell>
          <cell r="Y73">
            <v>1</v>
          </cell>
          <cell r="Z73">
            <v>33</v>
          </cell>
          <cell r="AA73">
            <v>13</v>
          </cell>
          <cell r="AB73">
            <v>47</v>
          </cell>
          <cell r="AC73">
            <v>1.375</v>
          </cell>
          <cell r="AD73">
            <v>11</v>
          </cell>
          <cell r="AE73">
            <v>0.22800000000000001</v>
          </cell>
          <cell r="AF73">
            <v>2</v>
          </cell>
          <cell r="AG73" t="str">
            <v>Z702010</v>
          </cell>
          <cell r="AH73">
            <v>232</v>
          </cell>
          <cell r="AI73">
            <v>1</v>
          </cell>
          <cell r="AJ73">
            <v>32.5</v>
          </cell>
          <cell r="AK73">
            <v>31</v>
          </cell>
          <cell r="AL73">
            <v>64.5</v>
          </cell>
          <cell r="AM73">
            <v>1.75</v>
          </cell>
          <cell r="AN73">
            <v>14</v>
          </cell>
          <cell r="AO73">
            <v>0.14399999999999999</v>
          </cell>
          <cell r="AP73">
            <v>0</v>
          </cell>
          <cell r="AQ73" t="str">
            <v>N203C70</v>
          </cell>
          <cell r="AR73">
            <v>301</v>
          </cell>
          <cell r="AS73">
            <v>1</v>
          </cell>
          <cell r="AT73">
            <v>7</v>
          </cell>
          <cell r="AU73">
            <v>18</v>
          </cell>
          <cell r="AV73">
            <v>26</v>
          </cell>
          <cell r="AW73">
            <v>3.2749999999999999</v>
          </cell>
          <cell r="AX73">
            <v>26.2</v>
          </cell>
          <cell r="AY73">
            <v>0.81499999999999995</v>
          </cell>
          <cell r="AZ73">
            <v>3</v>
          </cell>
          <cell r="BA73" t="str">
            <v>N203C71</v>
          </cell>
          <cell r="BB73">
            <v>302</v>
          </cell>
          <cell r="BC73">
            <v>1</v>
          </cell>
          <cell r="BD73">
            <v>9</v>
          </cell>
          <cell r="BE73">
            <v>13</v>
          </cell>
          <cell r="BF73">
            <v>23</v>
          </cell>
          <cell r="BG73">
            <v>2.0749999999999997</v>
          </cell>
          <cell r="BH73">
            <v>16.599999999999998</v>
          </cell>
          <cell r="BI73">
            <v>0.93</v>
          </cell>
          <cell r="BJ73">
            <v>1</v>
          </cell>
          <cell r="BK73" t="str">
            <v>N202340</v>
          </cell>
          <cell r="BL73">
            <v>47</v>
          </cell>
          <cell r="BM73" t="str">
            <v/>
          </cell>
          <cell r="BN73" t="str">
            <v/>
          </cell>
          <cell r="BO73" t="str">
            <v/>
          </cell>
          <cell r="BP73" t="str">
            <v/>
          </cell>
          <cell r="BQ73">
            <v>2.2750000000000004</v>
          </cell>
          <cell r="BR73">
            <v>18.200000000000003</v>
          </cell>
          <cell r="BS73" t="str">
            <v/>
          </cell>
          <cell r="BT73" t="str">
            <v/>
          </cell>
          <cell r="BU73" t="str">
            <v>N203L70</v>
          </cell>
          <cell r="BV73">
            <v>48</v>
          </cell>
          <cell r="BW73">
            <v>1</v>
          </cell>
          <cell r="BX73">
            <v>3</v>
          </cell>
          <cell r="BY73">
            <v>9</v>
          </cell>
          <cell r="BZ73">
            <v>13</v>
          </cell>
          <cell r="CA73">
            <v>2.2750000000000004</v>
          </cell>
          <cell r="CB73">
            <v>18.200000000000003</v>
          </cell>
          <cell r="CC73">
            <v>0.51200000000000001</v>
          </cell>
          <cell r="CD73">
            <v>5</v>
          </cell>
        </row>
        <row r="74">
          <cell r="B74" t="str">
            <v>Garon, Adrian Caleb</v>
          </cell>
          <cell r="C74" t="str">
            <v>Z203280</v>
          </cell>
          <cell r="D74">
            <v>295</v>
          </cell>
          <cell r="E74">
            <v>1</v>
          </cell>
          <cell r="F74">
            <v>8</v>
          </cell>
          <cell r="G74">
            <v>8</v>
          </cell>
          <cell r="H74">
            <v>17</v>
          </cell>
          <cell r="I74">
            <v>1.375</v>
          </cell>
          <cell r="J74">
            <v>11</v>
          </cell>
          <cell r="K74">
            <v>0.30199999999999999</v>
          </cell>
          <cell r="L74">
            <v>0</v>
          </cell>
          <cell r="M74" t="str">
            <v>N202370</v>
          </cell>
          <cell r="N74">
            <v>54</v>
          </cell>
          <cell r="O74">
            <v>1</v>
          </cell>
          <cell r="P74">
            <v>16</v>
          </cell>
          <cell r="Q74">
            <v>18</v>
          </cell>
          <cell r="R74">
            <v>35</v>
          </cell>
          <cell r="S74">
            <v>3.3</v>
          </cell>
          <cell r="T74">
            <v>26.4</v>
          </cell>
          <cell r="U74">
            <v>0.93</v>
          </cell>
          <cell r="V74">
            <v>2</v>
          </cell>
          <cell r="W74" t="str">
            <v>Z240620</v>
          </cell>
          <cell r="X74">
            <v>289</v>
          </cell>
          <cell r="Y74">
            <v>1</v>
          </cell>
          <cell r="Z74">
            <v>6</v>
          </cell>
          <cell r="AA74">
            <v>8</v>
          </cell>
          <cell r="AB74">
            <v>15</v>
          </cell>
          <cell r="AC74">
            <v>2.4875000000000003</v>
          </cell>
          <cell r="AD74">
            <v>19.900000000000002</v>
          </cell>
          <cell r="AE74">
            <v>0.22</v>
          </cell>
          <cell r="AF74">
            <v>2</v>
          </cell>
          <cell r="AG74" t="str">
            <v>N203450</v>
          </cell>
          <cell r="AH74">
            <v>125</v>
          </cell>
          <cell r="AI74">
            <v>1</v>
          </cell>
          <cell r="AJ74">
            <v>8</v>
          </cell>
          <cell r="AK74">
            <v>8</v>
          </cell>
          <cell r="AL74">
            <v>17</v>
          </cell>
          <cell r="AM74">
            <v>1.375</v>
          </cell>
          <cell r="AN74">
            <v>11</v>
          </cell>
          <cell r="AO74">
            <v>0.308</v>
          </cell>
          <cell r="AP74">
            <v>7</v>
          </cell>
          <cell r="AQ74" t="str">
            <v>Z203L60</v>
          </cell>
          <cell r="AR74">
            <v>128</v>
          </cell>
          <cell r="AS74">
            <v>1</v>
          </cell>
          <cell r="AT74">
            <v>8</v>
          </cell>
          <cell r="AU74">
            <v>18</v>
          </cell>
          <cell r="AV74">
            <v>27</v>
          </cell>
          <cell r="AW74">
            <v>2.9125000000000001</v>
          </cell>
          <cell r="AX74">
            <v>23.3</v>
          </cell>
          <cell r="AY74">
            <v>1.113</v>
          </cell>
          <cell r="AZ74">
            <v>4</v>
          </cell>
          <cell r="BA74">
            <v>0</v>
          </cell>
          <cell r="BB74" t="e">
            <v>#N/A</v>
          </cell>
          <cell r="BF74" t="str">
            <v/>
          </cell>
          <cell r="BI74" t="e">
            <v>#N/A</v>
          </cell>
          <cell r="BJ74" t="e">
            <v>#N/A</v>
          </cell>
          <cell r="BK74">
            <v>0</v>
          </cell>
          <cell r="BL74" t="e">
            <v>#N/A</v>
          </cell>
          <cell r="BP74" t="str">
            <v/>
          </cell>
          <cell r="BS74" t="e">
            <v>#N/A</v>
          </cell>
          <cell r="BT74" t="e">
            <v>#N/A</v>
          </cell>
          <cell r="BU74">
            <v>0</v>
          </cell>
          <cell r="BV74" t="e">
            <v>#N/A</v>
          </cell>
          <cell r="BZ74" t="str">
            <v/>
          </cell>
          <cell r="CC74" t="e">
            <v>#N/A</v>
          </cell>
          <cell r="CD74" t="e">
            <v>#N/A</v>
          </cell>
        </row>
        <row r="75">
          <cell r="B75" t="str">
            <v>Jarangan, Raven Vince</v>
          </cell>
          <cell r="C75" t="str">
            <v>N203G50</v>
          </cell>
          <cell r="D75">
            <v>100</v>
          </cell>
          <cell r="E75">
            <v>3</v>
          </cell>
          <cell r="F75">
            <v>8</v>
          </cell>
          <cell r="G75">
            <v>3</v>
          </cell>
          <cell r="H75">
            <v>14</v>
          </cell>
          <cell r="I75">
            <v>1.3625</v>
          </cell>
          <cell r="J75">
            <v>10.9</v>
          </cell>
          <cell r="K75">
            <v>0.13100000000000001</v>
          </cell>
          <cell r="L75">
            <v>2</v>
          </cell>
          <cell r="M75" t="str">
            <v>Z702030</v>
          </cell>
          <cell r="N75">
            <v>57</v>
          </cell>
          <cell r="O75">
            <v>3</v>
          </cell>
          <cell r="P75">
            <v>7</v>
          </cell>
          <cell r="Q75">
            <v>7</v>
          </cell>
          <cell r="R75">
            <v>17</v>
          </cell>
          <cell r="S75">
            <v>2.9250000000000003</v>
          </cell>
          <cell r="T75">
            <v>23.400000000000002</v>
          </cell>
          <cell r="U75">
            <v>0.2</v>
          </cell>
          <cell r="V75">
            <v>2</v>
          </cell>
          <cell r="W75" t="str">
            <v>N203440</v>
          </cell>
          <cell r="X75">
            <v>123</v>
          </cell>
          <cell r="AB75" t="str">
            <v/>
          </cell>
          <cell r="AE75">
            <v>4.8000000000000001E-2</v>
          </cell>
          <cell r="AF75">
            <v>2</v>
          </cell>
          <cell r="AG75" t="str">
            <v>N206530</v>
          </cell>
          <cell r="AH75">
            <v>192</v>
          </cell>
          <cell r="AL75" t="str">
            <v/>
          </cell>
          <cell r="AO75">
            <v>3.6999999999999998E-2</v>
          </cell>
          <cell r="AP75">
            <v>1</v>
          </cell>
          <cell r="AQ75" t="str">
            <v>N202580</v>
          </cell>
          <cell r="AR75">
            <v>24</v>
          </cell>
          <cell r="AV75" t="str">
            <v/>
          </cell>
          <cell r="AY75">
            <v>0.4</v>
          </cell>
          <cell r="AZ75">
            <v>3</v>
          </cell>
          <cell r="BA75" t="str">
            <v>N202490</v>
          </cell>
          <cell r="BB75">
            <v>59</v>
          </cell>
          <cell r="BF75" t="str">
            <v/>
          </cell>
          <cell r="BI75">
            <v>0.1</v>
          </cell>
          <cell r="BJ75">
            <v>1</v>
          </cell>
          <cell r="BK75" t="str">
            <v>N202491</v>
          </cell>
          <cell r="BL75">
            <v>60</v>
          </cell>
          <cell r="BM75">
            <v>3</v>
          </cell>
          <cell r="BN75">
            <v>6</v>
          </cell>
          <cell r="BO75">
            <v>8</v>
          </cell>
          <cell r="BP75">
            <v>17</v>
          </cell>
          <cell r="BQ75">
            <v>2.0499999999999998</v>
          </cell>
          <cell r="BR75">
            <v>16.399999999999999</v>
          </cell>
          <cell r="BS75">
            <v>0.57199999999999995</v>
          </cell>
          <cell r="BT75">
            <v>3</v>
          </cell>
          <cell r="BU75" t="str">
            <v>Z203030</v>
          </cell>
          <cell r="BV75">
            <v>76</v>
          </cell>
          <cell r="BZ75" t="str">
            <v/>
          </cell>
          <cell r="CA75">
            <v>2.9375</v>
          </cell>
          <cell r="CB75">
            <v>23.5</v>
          </cell>
          <cell r="CC75">
            <v>3.0459999999999998</v>
          </cell>
          <cell r="CD75" t="str">
            <v/>
          </cell>
        </row>
        <row r="76">
          <cell r="B76" t="str">
            <v>Lotivio, Ramon Lorenzo</v>
          </cell>
          <cell r="C76" t="str">
            <v>Z702090</v>
          </cell>
          <cell r="D76">
            <v>51</v>
          </cell>
          <cell r="E76">
            <v>1</v>
          </cell>
          <cell r="F76">
            <v>7</v>
          </cell>
          <cell r="G76">
            <v>8</v>
          </cell>
          <cell r="H76">
            <v>16</v>
          </cell>
          <cell r="I76">
            <v>1.3625</v>
          </cell>
          <cell r="J76">
            <v>10.9</v>
          </cell>
          <cell r="K76">
            <v>0.184</v>
          </cell>
          <cell r="L76">
            <v>5</v>
          </cell>
          <cell r="M76" t="str">
            <v>Z203080</v>
          </cell>
          <cell r="N76">
            <v>124</v>
          </cell>
          <cell r="O76">
            <v>1</v>
          </cell>
          <cell r="P76">
            <v>24</v>
          </cell>
          <cell r="Q76">
            <v>16</v>
          </cell>
          <cell r="R76">
            <v>41</v>
          </cell>
          <cell r="S76">
            <v>3.5624999999999996</v>
          </cell>
          <cell r="T76">
            <v>28.499999999999996</v>
          </cell>
          <cell r="U76">
            <v>1.774</v>
          </cell>
          <cell r="V76">
            <v>5</v>
          </cell>
          <cell r="W76" t="str">
            <v>ZA03H00</v>
          </cell>
          <cell r="X76">
            <v>138</v>
          </cell>
          <cell r="Y76">
            <v>1</v>
          </cell>
          <cell r="Z76">
            <v>7</v>
          </cell>
          <cell r="AA76">
            <v>8</v>
          </cell>
          <cell r="AB76">
            <v>16</v>
          </cell>
          <cell r="AC76">
            <v>1.3625</v>
          </cell>
          <cell r="AD76">
            <v>10.9</v>
          </cell>
          <cell r="AE76">
            <v>0.16500000000000001</v>
          </cell>
          <cell r="AF76">
            <v>9</v>
          </cell>
          <cell r="AG76" t="str">
            <v>N202780</v>
          </cell>
          <cell r="AH76">
            <v>25</v>
          </cell>
          <cell r="AI76">
            <v>1</v>
          </cell>
          <cell r="AJ76">
            <v>10</v>
          </cell>
          <cell r="AK76">
            <v>14</v>
          </cell>
          <cell r="AL76">
            <v>25</v>
          </cell>
          <cell r="AM76">
            <v>2.9125000000000001</v>
          </cell>
          <cell r="AN76">
            <v>23.3</v>
          </cell>
          <cell r="AO76">
            <v>0.38600000000000001</v>
          </cell>
          <cell r="AP76">
            <v>3</v>
          </cell>
          <cell r="AQ76" t="str">
            <v>N214180</v>
          </cell>
          <cell r="AR76">
            <v>230</v>
          </cell>
          <cell r="AS76">
            <v>1</v>
          </cell>
          <cell r="AT76">
            <v>11</v>
          </cell>
          <cell r="AU76">
            <v>8</v>
          </cell>
          <cell r="AV76">
            <v>20</v>
          </cell>
          <cell r="AW76">
            <v>2.4875000000000003</v>
          </cell>
          <cell r="AX76">
            <v>19.900000000000002</v>
          </cell>
          <cell r="AY76">
            <v>0.24399999999999999</v>
          </cell>
          <cell r="AZ76">
            <v>6</v>
          </cell>
          <cell r="BA76" t="str">
            <v>N202VV0</v>
          </cell>
          <cell r="BB76">
            <v>45</v>
          </cell>
          <cell r="BC76">
            <v>1</v>
          </cell>
          <cell r="BD76">
            <v>11</v>
          </cell>
          <cell r="BE76">
            <v>10</v>
          </cell>
          <cell r="BF76">
            <v>22</v>
          </cell>
          <cell r="BG76">
            <v>2.5250000000000004</v>
          </cell>
          <cell r="BH76">
            <v>20.200000000000003</v>
          </cell>
          <cell r="BI76">
            <v>0.42599999999999999</v>
          </cell>
          <cell r="BJ76">
            <v>1</v>
          </cell>
          <cell r="BK76" t="str">
            <v>Z240250</v>
          </cell>
          <cell r="BL76">
            <v>262</v>
          </cell>
          <cell r="BM76">
            <v>1</v>
          </cell>
          <cell r="BN76">
            <v>7</v>
          </cell>
          <cell r="BO76">
            <v>10</v>
          </cell>
          <cell r="BP76">
            <v>18</v>
          </cell>
          <cell r="BQ76">
            <v>1.3875</v>
          </cell>
          <cell r="BR76">
            <v>11.1</v>
          </cell>
          <cell r="BS76">
            <v>0.27200000000000002</v>
          </cell>
          <cell r="BT76">
            <v>2</v>
          </cell>
          <cell r="BU76">
            <v>0</v>
          </cell>
          <cell r="BV76" t="e">
            <v>#N/A</v>
          </cell>
          <cell r="BW76"/>
          <cell r="BX76"/>
          <cell r="BY76"/>
          <cell r="BZ76" t="str">
            <v/>
          </cell>
          <cell r="CA76"/>
          <cell r="CB76"/>
          <cell r="CC76" t="e">
            <v>#N/A</v>
          </cell>
          <cell r="CD76" t="e">
            <v>#N/A</v>
          </cell>
        </row>
        <row r="77">
          <cell r="B77" t="str">
            <v>Ragot, Clarice Ivee</v>
          </cell>
          <cell r="C77" t="str">
            <v>N214250</v>
          </cell>
          <cell r="D77">
            <v>237</v>
          </cell>
          <cell r="E77">
            <v>2</v>
          </cell>
          <cell r="F77">
            <v>8</v>
          </cell>
          <cell r="G77">
            <v>9</v>
          </cell>
          <cell r="H77">
            <v>19</v>
          </cell>
          <cell r="I77">
            <v>1.375</v>
          </cell>
          <cell r="J77">
            <v>11</v>
          </cell>
          <cell r="K77">
            <v>5.2999999999999999E-2</v>
          </cell>
          <cell r="L77">
            <v>0</v>
          </cell>
          <cell r="M77" t="str">
            <v>N214070</v>
          </cell>
          <cell r="N77">
            <v>233</v>
          </cell>
          <cell r="O77">
            <v>3</v>
          </cell>
          <cell r="P77">
            <v>12</v>
          </cell>
          <cell r="Q77">
            <v>20</v>
          </cell>
          <cell r="R77">
            <v>35</v>
          </cell>
          <cell r="S77">
            <v>3.0624999999999996</v>
          </cell>
          <cell r="T77">
            <v>24.499999999999996</v>
          </cell>
          <cell r="U77">
            <v>3.1970000000000001</v>
          </cell>
          <cell r="V77">
            <v>3</v>
          </cell>
          <cell r="W77" t="str">
            <v>N203M40</v>
          </cell>
          <cell r="X77">
            <v>152</v>
          </cell>
          <cell r="AB77" t="str">
            <v/>
          </cell>
          <cell r="AE77">
            <v>0.121</v>
          </cell>
          <cell r="AF77">
            <v>6</v>
          </cell>
          <cell r="AG77" t="str">
            <v>N214230</v>
          </cell>
          <cell r="AH77">
            <v>234</v>
          </cell>
          <cell r="AL77" t="str">
            <v/>
          </cell>
          <cell r="AM77">
            <v>1.375</v>
          </cell>
          <cell r="AN77">
            <v>11</v>
          </cell>
          <cell r="AO77">
            <v>0.13900000000000001</v>
          </cell>
          <cell r="AP77">
            <v>3</v>
          </cell>
          <cell r="AQ77" t="str">
            <v>Z203270</v>
          </cell>
          <cell r="AR77">
            <v>113</v>
          </cell>
          <cell r="AV77" t="str">
            <v/>
          </cell>
          <cell r="AW77">
            <v>1.3875</v>
          </cell>
          <cell r="AX77">
            <v>11.1</v>
          </cell>
          <cell r="AY77">
            <v>0.10199999999999999</v>
          </cell>
          <cell r="AZ77">
            <v>5</v>
          </cell>
          <cell r="BA77" t="str">
            <v>Z203MB0</v>
          </cell>
          <cell r="BB77">
            <v>114</v>
          </cell>
          <cell r="BF77" t="str">
            <v/>
          </cell>
          <cell r="BI77">
            <v>0.32500000000000001</v>
          </cell>
          <cell r="BJ77">
            <v>0</v>
          </cell>
          <cell r="BK77" t="str">
            <v>Z203470</v>
          </cell>
          <cell r="BL77">
            <v>303</v>
          </cell>
          <cell r="BM77">
            <v>3</v>
          </cell>
          <cell r="BN77">
            <v>10</v>
          </cell>
          <cell r="BO77">
            <v>12</v>
          </cell>
          <cell r="BP77">
            <v>25</v>
          </cell>
          <cell r="BQ77">
            <v>1.375</v>
          </cell>
          <cell r="BR77">
            <v>11</v>
          </cell>
          <cell r="BS77">
            <v>0.24099999999999999</v>
          </cell>
          <cell r="BT77">
            <v>4</v>
          </cell>
          <cell r="BU77" t="str">
            <v>N284680</v>
          </cell>
          <cell r="BV77">
            <v>319</v>
          </cell>
          <cell r="BZ77" t="str">
            <v/>
          </cell>
          <cell r="CA77">
            <v>1.9875</v>
          </cell>
          <cell r="CB77">
            <v>15.9</v>
          </cell>
          <cell r="CC77">
            <v>0.20499999999999999</v>
          </cell>
          <cell r="CD77">
            <v>5</v>
          </cell>
        </row>
        <row r="78">
          <cell r="B78" t="str">
            <v>Torres, R-Jay Carl</v>
          </cell>
          <cell r="C78" t="str">
            <v>Z206550</v>
          </cell>
          <cell r="D78">
            <v>182</v>
          </cell>
          <cell r="E78">
            <v>1</v>
          </cell>
          <cell r="F78">
            <v>36</v>
          </cell>
          <cell r="G78">
            <v>20</v>
          </cell>
          <cell r="H78">
            <v>57</v>
          </cell>
          <cell r="I78">
            <v>2.9125000000000001</v>
          </cell>
          <cell r="J78">
            <v>23.3</v>
          </cell>
          <cell r="K78">
            <v>0.97099999999999997</v>
          </cell>
          <cell r="L78">
            <v>3</v>
          </cell>
          <cell r="M78" t="str">
            <v>Z206551</v>
          </cell>
          <cell r="N78">
            <v>183</v>
          </cell>
          <cell r="O78">
            <v>2</v>
          </cell>
          <cell r="P78">
            <v>40</v>
          </cell>
          <cell r="Q78" t="str">
            <v/>
          </cell>
          <cell r="R78">
            <v>42</v>
          </cell>
          <cell r="S78">
            <v>6.4874999999999998</v>
          </cell>
          <cell r="T78">
            <v>51.9</v>
          </cell>
          <cell r="U78">
            <v>2.94</v>
          </cell>
          <cell r="V78" t="str">
            <v/>
          </cell>
          <cell r="W78" t="str">
            <v>Z206552</v>
          </cell>
          <cell r="X78">
            <v>184</v>
          </cell>
          <cell r="Y78">
            <v>2</v>
          </cell>
          <cell r="Z78">
            <v>29.75</v>
          </cell>
          <cell r="AA78" t="str">
            <v/>
          </cell>
          <cell r="AB78">
            <v>31.75</v>
          </cell>
          <cell r="AC78">
            <v>6.4874999999999998</v>
          </cell>
          <cell r="AD78">
            <v>51.9</v>
          </cell>
          <cell r="AE78">
            <v>2.883</v>
          </cell>
          <cell r="AF78" t="str">
            <v/>
          </cell>
          <cell r="AG78" t="str">
            <v>N280110</v>
          </cell>
          <cell r="AH78">
            <v>309</v>
          </cell>
          <cell r="AI78">
            <v>1</v>
          </cell>
          <cell r="AJ78">
            <v>12</v>
          </cell>
          <cell r="AK78">
            <v>4</v>
          </cell>
          <cell r="AL78">
            <v>17</v>
          </cell>
          <cell r="AM78">
            <v>1.3625</v>
          </cell>
          <cell r="AN78">
            <v>10.9</v>
          </cell>
          <cell r="AO78">
            <v>3.4000000000000002E-2</v>
          </cell>
          <cell r="AP78">
            <v>3</v>
          </cell>
          <cell r="AQ78" t="str">
            <v> </v>
          </cell>
          <cell r="AR78" t="e">
            <v>#N/A</v>
          </cell>
          <cell r="AV78" t="str">
            <v/>
          </cell>
          <cell r="AY78" t="e">
            <v>#N/A</v>
          </cell>
          <cell r="AZ78" t="e">
            <v>#N/A</v>
          </cell>
          <cell r="BA78" t="str">
            <v> </v>
          </cell>
          <cell r="BB78" t="e">
            <v>#N/A</v>
          </cell>
          <cell r="BF78" t="str">
            <v/>
          </cell>
          <cell r="BI78" t="e">
            <v>#N/A</v>
          </cell>
          <cell r="BJ78" t="e">
            <v>#N/A</v>
          </cell>
          <cell r="BK78" t="str">
            <v> </v>
          </cell>
          <cell r="BL78" t="e">
            <v>#N/A</v>
          </cell>
          <cell r="BP78" t="str">
            <v/>
          </cell>
          <cell r="BS78" t="e">
            <v>#N/A</v>
          </cell>
          <cell r="BT78" t="e">
            <v>#N/A</v>
          </cell>
          <cell r="BU78" t="str">
            <v> </v>
          </cell>
          <cell r="BV78" t="e">
            <v>#N/A</v>
          </cell>
          <cell r="BZ78" t="str">
            <v/>
          </cell>
          <cell r="CC78" t="e">
            <v>#N/A</v>
          </cell>
          <cell r="CD78" t="e">
            <v>#N/A</v>
          </cell>
        </row>
        <row r="79">
          <cell r="B79" t="str">
            <v>Atijera, John Phillip</v>
          </cell>
          <cell r="C79" t="str">
            <v>Z203M10</v>
          </cell>
          <cell r="D79">
            <v>109</v>
          </cell>
          <cell r="E79">
            <v>0.5</v>
          </cell>
          <cell r="F79">
            <v>6</v>
          </cell>
          <cell r="G79">
            <v>4</v>
          </cell>
          <cell r="H79">
            <v>10.5</v>
          </cell>
          <cell r="I79">
            <v>1.4000000000000001</v>
          </cell>
          <cell r="J79">
            <v>11.200000000000001</v>
          </cell>
          <cell r="K79">
            <v>0.28100000000000003</v>
          </cell>
          <cell r="L79">
            <v>2</v>
          </cell>
          <cell r="M79" t="str">
            <v>JK02M60</v>
          </cell>
          <cell r="N79">
            <v>35</v>
          </cell>
          <cell r="O79">
            <v>1.5</v>
          </cell>
          <cell r="P79">
            <v>11.5</v>
          </cell>
          <cell r="Q79" t="str">
            <v/>
          </cell>
          <cell r="R79">
            <v>13</v>
          </cell>
          <cell r="S79">
            <v>2.9375</v>
          </cell>
          <cell r="T79">
            <v>23.5</v>
          </cell>
          <cell r="U79">
            <v>1.1839999999999999</v>
          </cell>
          <cell r="V79">
            <v>3</v>
          </cell>
          <cell r="W79" t="str">
            <v>JK02M61</v>
          </cell>
          <cell r="X79">
            <v>36</v>
          </cell>
          <cell r="Y79" t="str">
            <v/>
          </cell>
          <cell r="Z79" t="str">
            <v/>
          </cell>
          <cell r="AA79" t="str">
            <v/>
          </cell>
          <cell r="AB79" t="str">
            <v/>
          </cell>
          <cell r="AC79">
            <v>4.5125000000000002</v>
          </cell>
          <cell r="AD79">
            <v>36.1</v>
          </cell>
          <cell r="AE79" t="str">
            <v/>
          </cell>
          <cell r="AF79">
            <v>7</v>
          </cell>
          <cell r="AG79"/>
          <cell r="AH79"/>
          <cell r="AI79"/>
          <cell r="AJ79"/>
          <cell r="AK79"/>
          <cell r="AL79"/>
          <cell r="AM79"/>
          <cell r="AN79"/>
          <cell r="AO79"/>
          <cell r="AP79"/>
          <cell r="AQ79"/>
          <cell r="AR79"/>
          <cell r="AS79"/>
          <cell r="AT79"/>
          <cell r="AU79"/>
          <cell r="AV79"/>
          <cell r="AW79"/>
          <cell r="AX79"/>
          <cell r="AY79"/>
          <cell r="AZ79"/>
          <cell r="BA79"/>
          <cell r="BB79"/>
          <cell r="BC79"/>
          <cell r="BD79"/>
          <cell r="BE79"/>
          <cell r="BF79"/>
          <cell r="BG79"/>
          <cell r="BH79"/>
          <cell r="BI79"/>
          <cell r="BJ79"/>
          <cell r="BK79"/>
          <cell r="BL79"/>
          <cell r="BM79"/>
          <cell r="BN79"/>
          <cell r="BO79"/>
          <cell r="BP79"/>
          <cell r="BQ79"/>
          <cell r="BR79"/>
          <cell r="BS79"/>
          <cell r="BT79"/>
          <cell r="BU79"/>
          <cell r="BV79"/>
          <cell r="BW79"/>
          <cell r="BX79"/>
          <cell r="BY79"/>
          <cell r="BZ79"/>
          <cell r="CA79"/>
          <cell r="CB79"/>
          <cell r="CC79"/>
          <cell r="CD79"/>
        </row>
        <row r="80">
          <cell r="B80" t="str">
            <v>Catral, Hilario</v>
          </cell>
          <cell r="C80" t="str">
            <v>Z203MW0</v>
          </cell>
          <cell r="D80">
            <v>103</v>
          </cell>
          <cell r="E80">
            <v>2</v>
          </cell>
          <cell r="F80">
            <v>5</v>
          </cell>
          <cell r="G80">
            <v>2</v>
          </cell>
          <cell r="H80">
            <v>9</v>
          </cell>
          <cell r="I80">
            <v>1.375</v>
          </cell>
          <cell r="J80">
            <v>11</v>
          </cell>
          <cell r="K80">
            <v>0.191</v>
          </cell>
          <cell r="L80">
            <v>7</v>
          </cell>
          <cell r="M80" t="str">
            <v>N203M70</v>
          </cell>
          <cell r="N80" t="str">
            <v>#NA</v>
          </cell>
          <cell r="O80"/>
          <cell r="P80"/>
          <cell r="Q80"/>
          <cell r="R80" t="str">
            <v/>
          </cell>
          <cell r="S80"/>
          <cell r="T80"/>
          <cell r="U80" t="e">
            <v>#VALUE!</v>
          </cell>
          <cell r="V80" t="e">
            <v>#VALUE!</v>
          </cell>
          <cell r="W80" t="str">
            <v>N202C60</v>
          </cell>
          <cell r="X80">
            <v>39</v>
          </cell>
          <cell r="Y80">
            <v>1</v>
          </cell>
          <cell r="Z80">
            <v>5</v>
          </cell>
          <cell r="AA80">
            <v>2</v>
          </cell>
          <cell r="AB80">
            <v>8</v>
          </cell>
          <cell r="AC80">
            <v>1.3625</v>
          </cell>
          <cell r="AD80">
            <v>10.9</v>
          </cell>
          <cell r="AE80">
            <v>0.21099999999999999</v>
          </cell>
          <cell r="AF80">
            <v>3</v>
          </cell>
          <cell r="AG80" t="str">
            <v>Z203W20</v>
          </cell>
          <cell r="AH80">
            <v>101</v>
          </cell>
          <cell r="AI80">
            <v>3</v>
          </cell>
          <cell r="AJ80">
            <v>7</v>
          </cell>
          <cell r="AK80">
            <v>3</v>
          </cell>
          <cell r="AL80">
            <v>13</v>
          </cell>
          <cell r="AM80">
            <v>1.9375</v>
          </cell>
          <cell r="AN80">
            <v>15.5</v>
          </cell>
          <cell r="AO80">
            <v>0.75700000000000001</v>
          </cell>
          <cell r="AP80">
            <v>5</v>
          </cell>
          <cell r="AQ80" t="str">
            <v>Z203M60</v>
          </cell>
          <cell r="AR80">
            <v>106</v>
          </cell>
          <cell r="AS80">
            <v>1</v>
          </cell>
          <cell r="AT80">
            <v>3</v>
          </cell>
          <cell r="AU80">
            <v>3</v>
          </cell>
          <cell r="AV80">
            <v>7</v>
          </cell>
          <cell r="AW80">
            <v>1.375</v>
          </cell>
          <cell r="AX80">
            <v>11</v>
          </cell>
          <cell r="AY80">
            <v>0.155</v>
          </cell>
          <cell r="AZ80">
            <v>6</v>
          </cell>
          <cell r="BA80" t="str">
            <v>N203120G</v>
          </cell>
          <cell r="BB80">
            <v>78</v>
          </cell>
          <cell r="BC80">
            <v>1</v>
          </cell>
          <cell r="BD80">
            <v>3</v>
          </cell>
          <cell r="BE80">
            <v>1</v>
          </cell>
          <cell r="BF80">
            <v>5</v>
          </cell>
          <cell r="BG80">
            <v>2.8187500000000001</v>
          </cell>
          <cell r="BH80">
            <v>22.55</v>
          </cell>
          <cell r="BI80">
            <v>0.80900000000000005</v>
          </cell>
          <cell r="BJ80">
            <v>3</v>
          </cell>
          <cell r="BK80"/>
          <cell r="BL80"/>
          <cell r="BM80"/>
          <cell r="BN80"/>
          <cell r="BO80"/>
          <cell r="BP80"/>
          <cell r="BQ80"/>
          <cell r="BR80"/>
          <cell r="BS80"/>
          <cell r="BT80"/>
          <cell r="BU80"/>
          <cell r="BV80"/>
          <cell r="BW80"/>
          <cell r="BX80"/>
          <cell r="BY80"/>
          <cell r="BZ80"/>
          <cell r="CA80"/>
          <cell r="CB80"/>
          <cell r="CC80"/>
          <cell r="CD80"/>
        </row>
        <row r="81">
          <cell r="B81" t="str">
            <v>Santos, Adrian Paul</v>
          </cell>
          <cell r="C81" t="str">
            <v>Z2K3M10</v>
          </cell>
          <cell r="D81">
            <v>95</v>
          </cell>
          <cell r="E81">
            <v>1</v>
          </cell>
          <cell r="F81">
            <v>4</v>
          </cell>
          <cell r="G81">
            <v>11</v>
          </cell>
          <cell r="H81">
            <v>16</v>
          </cell>
          <cell r="I81">
            <v>1.375</v>
          </cell>
          <cell r="J81">
            <v>11</v>
          </cell>
          <cell r="K81">
            <v>0.25600000000000001</v>
          </cell>
          <cell r="L81">
            <v>1</v>
          </cell>
          <cell r="M81" t="str">
            <v>N202100</v>
          </cell>
          <cell r="N81">
            <v>26</v>
          </cell>
          <cell r="O81">
            <v>1</v>
          </cell>
          <cell r="P81">
            <v>5</v>
          </cell>
          <cell r="Q81">
            <v>10</v>
          </cell>
          <cell r="R81">
            <v>16</v>
          </cell>
          <cell r="S81">
            <v>3.2750000000000004</v>
          </cell>
          <cell r="T81">
            <v>26.200000000000003</v>
          </cell>
          <cell r="U81">
            <v>0.35899999999999999</v>
          </cell>
          <cell r="V81">
            <v>3</v>
          </cell>
          <cell r="W81" t="str">
            <v>N202101</v>
          </cell>
          <cell r="X81">
            <v>27</v>
          </cell>
          <cell r="Y81">
            <v>1</v>
          </cell>
          <cell r="Z81">
            <v>3.5</v>
          </cell>
          <cell r="AA81">
            <v>8</v>
          </cell>
          <cell r="AB81">
            <v>12.5</v>
          </cell>
          <cell r="AC81">
            <v>2.0125000000000002</v>
          </cell>
          <cell r="AD81">
            <v>16.100000000000001</v>
          </cell>
          <cell r="AE81">
            <v>0.438</v>
          </cell>
          <cell r="AF81">
            <v>2</v>
          </cell>
          <cell r="AG81" t="str">
            <v>ZA84530</v>
          </cell>
          <cell r="AH81">
            <v>199</v>
          </cell>
          <cell r="AI81">
            <v>1</v>
          </cell>
          <cell r="AJ81">
            <v>3</v>
          </cell>
          <cell r="AK81">
            <v>9</v>
          </cell>
          <cell r="AL81">
            <v>13</v>
          </cell>
          <cell r="AM81">
            <v>1.3875</v>
          </cell>
          <cell r="AN81">
            <v>11.1</v>
          </cell>
          <cell r="AO81">
            <v>0.36499999999999999</v>
          </cell>
          <cell r="AP81">
            <v>6</v>
          </cell>
          <cell r="AQ81" t="str">
            <v>ZA84540</v>
          </cell>
          <cell r="AR81">
            <v>200</v>
          </cell>
          <cell r="AS81">
            <v>1</v>
          </cell>
          <cell r="AT81">
            <v>6.5</v>
          </cell>
          <cell r="AU81">
            <v>6</v>
          </cell>
          <cell r="AV81">
            <v>13.5</v>
          </cell>
          <cell r="AW81">
            <v>2</v>
          </cell>
          <cell r="AX81">
            <v>16</v>
          </cell>
          <cell r="AY81">
            <v>0.22800000000000001</v>
          </cell>
          <cell r="AZ81">
            <v>3</v>
          </cell>
          <cell r="BA81" t="str">
            <v>Z203180</v>
          </cell>
          <cell r="BB81">
            <v>294</v>
          </cell>
          <cell r="BC81">
            <v>1</v>
          </cell>
          <cell r="BD81">
            <v>3.5</v>
          </cell>
          <cell r="BE81">
            <v>6.5</v>
          </cell>
          <cell r="BF81">
            <v>11</v>
          </cell>
          <cell r="BG81">
            <v>1.3625</v>
          </cell>
          <cell r="BH81">
            <v>10.9</v>
          </cell>
          <cell r="BI81">
            <v>7.3999999999999996E-2</v>
          </cell>
          <cell r="BJ81">
            <v>5</v>
          </cell>
          <cell r="BK81" t="str">
            <v>N204110G</v>
          </cell>
          <cell r="BL81">
            <v>143</v>
          </cell>
          <cell r="BM81">
            <v>1</v>
          </cell>
          <cell r="BN81">
            <v>13</v>
          </cell>
          <cell r="BO81">
            <v>20</v>
          </cell>
          <cell r="BP81">
            <v>34</v>
          </cell>
          <cell r="BQ81">
            <v>2.8062500000000004</v>
          </cell>
          <cell r="BR81">
            <v>22.450000000000003</v>
          </cell>
          <cell r="BS81">
            <v>1.792</v>
          </cell>
          <cell r="BT81">
            <v>6</v>
          </cell>
          <cell r="BU81"/>
          <cell r="BV81"/>
          <cell r="BW81"/>
          <cell r="BX81"/>
          <cell r="BY81"/>
          <cell r="BZ81"/>
          <cell r="CA81"/>
          <cell r="CB81"/>
          <cell r="CC81"/>
          <cell r="CD81"/>
        </row>
        <row r="82">
          <cell r="B82" t="str">
            <v>Baldorado, Joseph</v>
          </cell>
          <cell r="C82" t="str">
            <v>Z206M90</v>
          </cell>
          <cell r="D82">
            <v>195</v>
          </cell>
          <cell r="E82">
            <v>1</v>
          </cell>
          <cell r="F82">
            <v>7</v>
          </cell>
          <cell r="G82">
            <v>6</v>
          </cell>
          <cell r="H82">
            <v>14</v>
          </cell>
          <cell r="I82">
            <v>1.375</v>
          </cell>
          <cell r="J82">
            <v>11</v>
          </cell>
          <cell r="K82">
            <v>0.17699999999999999</v>
          </cell>
          <cell r="L82">
            <v>5</v>
          </cell>
          <cell r="M82" t="str">
            <v>Z284550</v>
          </cell>
          <cell r="N82">
            <v>201</v>
          </cell>
          <cell r="O82">
            <v>1</v>
          </cell>
          <cell r="P82">
            <v>10.5</v>
          </cell>
          <cell r="Q82">
            <v>10.5</v>
          </cell>
          <cell r="R82">
            <v>22</v>
          </cell>
          <cell r="S82">
            <v>1.4000000000000001</v>
          </cell>
          <cell r="T82">
            <v>11.200000000000001</v>
          </cell>
          <cell r="U82">
            <v>0.32900000000000001</v>
          </cell>
          <cell r="V82">
            <v>5</v>
          </cell>
          <cell r="W82" t="str">
            <v>Z284560</v>
          </cell>
          <cell r="X82">
            <v>202</v>
          </cell>
          <cell r="Y82">
            <v>1</v>
          </cell>
          <cell r="Z82">
            <v>12.5</v>
          </cell>
          <cell r="AA82">
            <v>3.5</v>
          </cell>
          <cell r="AB82">
            <v>17</v>
          </cell>
          <cell r="AC82">
            <v>2</v>
          </cell>
          <cell r="AD82">
            <v>16</v>
          </cell>
          <cell r="AE82">
            <v>0.23699999999999999</v>
          </cell>
          <cell r="AF82">
            <v>5</v>
          </cell>
          <cell r="AG82" t="str">
            <v>N202NK0</v>
          </cell>
          <cell r="AH82">
            <v>210</v>
          </cell>
          <cell r="AI82">
            <v>1</v>
          </cell>
          <cell r="AJ82">
            <v>11</v>
          </cell>
          <cell r="AK82">
            <v>3.5</v>
          </cell>
          <cell r="AL82">
            <v>15.5</v>
          </cell>
          <cell r="AM82">
            <v>2.5000000000000004</v>
          </cell>
          <cell r="AN82">
            <v>20.000000000000004</v>
          </cell>
          <cell r="AO82">
            <v>0.45800000000000002</v>
          </cell>
          <cell r="AP82">
            <v>5</v>
          </cell>
          <cell r="AQ82" t="str">
            <v>N240630</v>
          </cell>
          <cell r="AR82">
            <v>13</v>
          </cell>
          <cell r="AS82">
            <v>1</v>
          </cell>
          <cell r="AT82">
            <v>6</v>
          </cell>
          <cell r="AU82" t="str">
            <v/>
          </cell>
          <cell r="AV82">
            <v>7</v>
          </cell>
          <cell r="AW82">
            <v>2</v>
          </cell>
          <cell r="AX82">
            <v>16</v>
          </cell>
          <cell r="AY82">
            <v>0.13400000000000001</v>
          </cell>
          <cell r="AZ82">
            <v>4</v>
          </cell>
          <cell r="BA82" t="str">
            <v>Z702040</v>
          </cell>
          <cell r="BB82">
            <v>56</v>
          </cell>
          <cell r="BC82">
            <v>1</v>
          </cell>
          <cell r="BD82">
            <v>3.5</v>
          </cell>
          <cell r="BE82">
            <v>3</v>
          </cell>
          <cell r="BF82">
            <v>7.5</v>
          </cell>
          <cell r="BG82">
            <v>1.375</v>
          </cell>
          <cell r="BH82">
            <v>11</v>
          </cell>
          <cell r="BI82">
            <v>0.107</v>
          </cell>
          <cell r="BJ82">
            <v>3</v>
          </cell>
          <cell r="BK82" t="str">
            <v>Z203M20</v>
          </cell>
          <cell r="BL82">
            <v>111</v>
          </cell>
          <cell r="BM82">
            <v>1</v>
          </cell>
          <cell r="BN82">
            <v>3.5</v>
          </cell>
          <cell r="BO82">
            <v>2</v>
          </cell>
          <cell r="BP82">
            <v>6.5</v>
          </cell>
          <cell r="BQ82">
            <v>1.3625</v>
          </cell>
          <cell r="BR82">
            <v>10.9</v>
          </cell>
          <cell r="BS82">
            <v>9.8000000000000004E-2</v>
          </cell>
          <cell r="BT82">
            <v>4</v>
          </cell>
          <cell r="BU82" t="str">
            <v>N203T20G</v>
          </cell>
          <cell r="BV82">
            <v>125</v>
          </cell>
          <cell r="BW82">
            <v>1</v>
          </cell>
          <cell r="BX82">
            <v>12</v>
          </cell>
          <cell r="BY82">
            <v>3</v>
          </cell>
          <cell r="BZ82">
            <v>16</v>
          </cell>
          <cell r="CA82">
            <v>3.1937500000000001</v>
          </cell>
          <cell r="CB82">
            <v>25.55</v>
          </cell>
          <cell r="CC82">
            <v>1.2809999999999999</v>
          </cell>
          <cell r="CD82">
            <v>6</v>
          </cell>
        </row>
        <row r="83">
          <cell r="B83" t="str">
            <v>Barnuevo, Marlon</v>
          </cell>
          <cell r="C83" t="str">
            <v>Z203M90</v>
          </cell>
          <cell r="D83">
            <v>119</v>
          </cell>
          <cell r="E83">
            <v>2</v>
          </cell>
          <cell r="F83">
            <v>4.5</v>
          </cell>
          <cell r="G83">
            <v>3.5</v>
          </cell>
          <cell r="H83">
            <v>10</v>
          </cell>
          <cell r="I83">
            <v>1.3875</v>
          </cell>
          <cell r="J83">
            <v>11.1</v>
          </cell>
          <cell r="K83">
            <v>0.158</v>
          </cell>
          <cell r="L83">
            <v>6</v>
          </cell>
          <cell r="M83" t="str">
            <v>N202020</v>
          </cell>
          <cell r="N83">
            <v>19</v>
          </cell>
          <cell r="O83">
            <v>2</v>
          </cell>
          <cell r="P83">
            <v>17</v>
          </cell>
          <cell r="Q83">
            <v>24</v>
          </cell>
          <cell r="R83">
            <v>43</v>
          </cell>
          <cell r="S83">
            <v>5.95</v>
          </cell>
          <cell r="T83">
            <v>47.6</v>
          </cell>
          <cell r="U83">
            <v>0.30199999999999999</v>
          </cell>
          <cell r="V83">
            <v>5</v>
          </cell>
          <cell r="W83" t="str">
            <v>Z203LA0</v>
          </cell>
          <cell r="X83">
            <v>84</v>
          </cell>
          <cell r="Y83">
            <v>2</v>
          </cell>
          <cell r="Z83">
            <v>6</v>
          </cell>
          <cell r="AA83">
            <v>7.5</v>
          </cell>
          <cell r="AB83">
            <v>15.5</v>
          </cell>
          <cell r="AC83">
            <v>2.4875000000000003</v>
          </cell>
          <cell r="AD83">
            <v>19.900000000000002</v>
          </cell>
          <cell r="AE83">
            <v>0.19500000000000001</v>
          </cell>
          <cell r="AF83">
            <v>3</v>
          </cell>
          <cell r="AG83" t="str">
            <v>Z702020</v>
          </cell>
          <cell r="AH83">
            <v>223</v>
          </cell>
          <cell r="AI83" t="str">
            <v/>
          </cell>
          <cell r="AJ83" t="str">
            <v/>
          </cell>
          <cell r="AK83" t="str">
            <v/>
          </cell>
          <cell r="AL83" t="str">
            <v/>
          </cell>
          <cell r="AM83">
            <v>1.375</v>
          </cell>
          <cell r="AN83">
            <v>11</v>
          </cell>
          <cell r="AO83" t="str">
            <v/>
          </cell>
          <cell r="AP83" t="str">
            <v/>
          </cell>
          <cell r="AQ83" t="str">
            <v>N204120G</v>
          </cell>
          <cell r="AR83">
            <v>146</v>
          </cell>
          <cell r="AS83">
            <v>2</v>
          </cell>
          <cell r="AT83">
            <v>10.5</v>
          </cell>
          <cell r="AU83">
            <v>9</v>
          </cell>
          <cell r="AV83">
            <v>21.5</v>
          </cell>
          <cell r="AW83">
            <v>2.84375</v>
          </cell>
          <cell r="AX83">
            <v>22.75</v>
          </cell>
          <cell r="AY83">
            <v>2.585</v>
          </cell>
          <cell r="AZ83" t="str">
            <v/>
          </cell>
          <cell r="BA83"/>
          <cell r="BB83"/>
          <cell r="BC83"/>
          <cell r="BD83"/>
          <cell r="BE83"/>
          <cell r="BF83"/>
          <cell r="BG83"/>
          <cell r="BH83"/>
          <cell r="BI83"/>
          <cell r="BJ83"/>
          <cell r="BK83"/>
          <cell r="BL83"/>
          <cell r="BM83"/>
          <cell r="BN83"/>
          <cell r="BO83"/>
          <cell r="BP83"/>
          <cell r="BQ83"/>
          <cell r="BR83"/>
          <cell r="BS83"/>
          <cell r="BT83"/>
          <cell r="BU83"/>
          <cell r="BV83"/>
          <cell r="BW83"/>
          <cell r="BX83"/>
          <cell r="BY83"/>
          <cell r="BZ83"/>
          <cell r="CA83"/>
          <cell r="CB83"/>
          <cell r="CC83"/>
          <cell r="CD83"/>
        </row>
        <row r="84">
          <cell r="B84" t="str">
            <v xml:space="preserve">Batang, Christian </v>
          </cell>
          <cell r="C84" t="str">
            <v>N203VY0</v>
          </cell>
          <cell r="D84">
            <v>118</v>
          </cell>
          <cell r="E84">
            <v>2</v>
          </cell>
          <cell r="F84">
            <v>5.5</v>
          </cell>
          <cell r="G84">
            <v>3</v>
          </cell>
          <cell r="H84">
            <v>10.5</v>
          </cell>
          <cell r="I84">
            <v>1.3875</v>
          </cell>
          <cell r="J84">
            <v>11.1</v>
          </cell>
          <cell r="K84">
            <v>0.314</v>
          </cell>
          <cell r="L84">
            <v>4</v>
          </cell>
          <cell r="M84" t="str">
            <v>N202J90</v>
          </cell>
          <cell r="N84">
            <v>20</v>
          </cell>
          <cell r="O84">
            <v>2</v>
          </cell>
          <cell r="P84">
            <v>11</v>
          </cell>
          <cell r="Q84">
            <v>5</v>
          </cell>
          <cell r="R84">
            <v>18</v>
          </cell>
          <cell r="S84">
            <v>2.4875000000000003</v>
          </cell>
          <cell r="T84">
            <v>19.900000000000002</v>
          </cell>
          <cell r="U84">
            <v>0.20100000000000001</v>
          </cell>
          <cell r="V84">
            <v>12</v>
          </cell>
          <cell r="W84" t="str">
            <v>N202040</v>
          </cell>
          <cell r="X84">
            <v>21</v>
          </cell>
          <cell r="Y84">
            <v>3</v>
          </cell>
          <cell r="Z84">
            <v>15</v>
          </cell>
          <cell r="AA84">
            <v>4</v>
          </cell>
          <cell r="AB84">
            <v>22</v>
          </cell>
          <cell r="AC84">
            <v>2.9375</v>
          </cell>
          <cell r="AD84">
            <v>23.5</v>
          </cell>
          <cell r="AE84">
            <v>0.97399999999999998</v>
          </cell>
          <cell r="AF84">
            <v>4</v>
          </cell>
          <cell r="AG84" t="str">
            <v>Z203ME0</v>
          </cell>
          <cell r="AH84">
            <v>120</v>
          </cell>
          <cell r="AI84">
            <v>1.5</v>
          </cell>
          <cell r="AJ84">
            <v>9.5</v>
          </cell>
          <cell r="AK84">
            <v>4</v>
          </cell>
          <cell r="AL84">
            <v>15</v>
          </cell>
          <cell r="AM84">
            <v>2.0125000000000002</v>
          </cell>
          <cell r="AN84">
            <v>16.100000000000001</v>
          </cell>
          <cell r="AO84">
            <v>0.26800000000000002</v>
          </cell>
          <cell r="AP84">
            <v>4</v>
          </cell>
          <cell r="AQ84" t="str">
            <v>N214010</v>
          </cell>
          <cell r="AR84">
            <v>224</v>
          </cell>
          <cell r="AS84">
            <v>1.5</v>
          </cell>
          <cell r="AT84">
            <v>17</v>
          </cell>
          <cell r="AU84">
            <v>2</v>
          </cell>
          <cell r="AV84">
            <v>20.5</v>
          </cell>
          <cell r="AW84">
            <v>2.9125000000000001</v>
          </cell>
          <cell r="AX84">
            <v>23.3</v>
          </cell>
          <cell r="AY84">
            <v>3.129</v>
          </cell>
          <cell r="AZ84">
            <v>5</v>
          </cell>
          <cell r="BA84"/>
          <cell r="BB84"/>
          <cell r="BC84"/>
          <cell r="BD84"/>
          <cell r="BE84"/>
          <cell r="BF84"/>
          <cell r="BG84"/>
          <cell r="BH84"/>
          <cell r="BI84"/>
          <cell r="BJ84"/>
          <cell r="BK84"/>
          <cell r="BL84"/>
          <cell r="BM84"/>
          <cell r="BN84"/>
          <cell r="BO84"/>
          <cell r="BP84"/>
          <cell r="BQ84"/>
          <cell r="BR84"/>
          <cell r="BS84"/>
          <cell r="BT84"/>
          <cell r="BU84"/>
          <cell r="BV84"/>
          <cell r="BW84"/>
          <cell r="BX84"/>
          <cell r="BY84"/>
          <cell r="BZ84"/>
          <cell r="CA84"/>
          <cell r="CB84"/>
          <cell r="CC84"/>
          <cell r="CD84"/>
        </row>
        <row r="85">
          <cell r="B85" t="str">
            <v>Austria, Anthony Ryan</v>
          </cell>
          <cell r="C85" t="str">
            <v>Z206MG0</v>
          </cell>
          <cell r="D85">
            <v>176</v>
          </cell>
          <cell r="E85">
            <v>0.5</v>
          </cell>
          <cell r="F85">
            <v>4.5</v>
          </cell>
          <cell r="G85">
            <v>2</v>
          </cell>
          <cell r="H85">
            <v>7</v>
          </cell>
          <cell r="I85">
            <v>1.45</v>
          </cell>
          <cell r="J85">
            <v>11.6</v>
          </cell>
          <cell r="K85">
            <v>0.47499999999999998</v>
          </cell>
          <cell r="L85">
            <v>14</v>
          </cell>
          <cell r="M85" t="str">
            <v>Z206040</v>
          </cell>
          <cell r="N85">
            <v>189</v>
          </cell>
          <cell r="O85">
            <v>0.5</v>
          </cell>
          <cell r="P85">
            <v>5</v>
          </cell>
          <cell r="Q85">
            <v>8.5</v>
          </cell>
          <cell r="R85">
            <v>14</v>
          </cell>
          <cell r="S85">
            <v>2.9000000000000004</v>
          </cell>
          <cell r="T85">
            <v>23.200000000000003</v>
          </cell>
          <cell r="U85">
            <v>0.76700000000000002</v>
          </cell>
          <cell r="V85">
            <v>5</v>
          </cell>
          <cell r="W85" t="str">
            <v>Z206041</v>
          </cell>
          <cell r="X85">
            <v>190</v>
          </cell>
          <cell r="Y85">
            <v>0.5</v>
          </cell>
          <cell r="Z85">
            <v>4</v>
          </cell>
          <cell r="AA85">
            <v>9</v>
          </cell>
          <cell r="AB85">
            <v>13.5</v>
          </cell>
          <cell r="AC85">
            <v>5.75</v>
          </cell>
          <cell r="AD85">
            <v>46</v>
          </cell>
          <cell r="AE85">
            <v>1.8759999999999999</v>
          </cell>
          <cell r="AF85">
            <v>3</v>
          </cell>
          <cell r="AG85" t="str">
            <v>Z203A60</v>
          </cell>
          <cell r="AH85">
            <v>300</v>
          </cell>
          <cell r="AI85">
            <v>0.5</v>
          </cell>
          <cell r="AJ85">
            <v>3</v>
          </cell>
          <cell r="AK85">
            <v>2</v>
          </cell>
          <cell r="AL85">
            <v>5.5</v>
          </cell>
          <cell r="AM85">
            <v>1.4</v>
          </cell>
          <cell r="AN85">
            <v>11.2</v>
          </cell>
          <cell r="AO85">
            <v>7.5999999999999998E-2</v>
          </cell>
          <cell r="AP85">
            <v>4</v>
          </cell>
          <cell r="AQ85" t="str">
            <v>Z20D900</v>
          </cell>
          <cell r="AR85">
            <v>135</v>
          </cell>
          <cell r="AS85">
            <v>0.5</v>
          </cell>
          <cell r="AT85">
            <v>1.5</v>
          </cell>
          <cell r="AU85">
            <v>2</v>
          </cell>
          <cell r="AV85">
            <v>4</v>
          </cell>
          <cell r="AW85">
            <v>1.3625</v>
          </cell>
          <cell r="AX85">
            <v>10.9</v>
          </cell>
          <cell r="AY85">
            <v>0.13300000000000001</v>
          </cell>
          <cell r="AZ85">
            <v>5</v>
          </cell>
          <cell r="BA85" t="str">
            <v>N202280G</v>
          </cell>
          <cell r="BB85">
            <v>24</v>
          </cell>
          <cell r="BC85">
            <v>0.5</v>
          </cell>
          <cell r="BD85">
            <v>2</v>
          </cell>
          <cell r="BE85">
            <v>1.5</v>
          </cell>
          <cell r="BF85">
            <v>4</v>
          </cell>
          <cell r="BG85">
            <v>2.8062500000000004</v>
          </cell>
          <cell r="BH85">
            <v>22.450000000000003</v>
          </cell>
          <cell r="BI85">
            <v>0.88</v>
          </cell>
          <cell r="BJ85">
            <v>8</v>
          </cell>
          <cell r="BK85"/>
          <cell r="BL85"/>
          <cell r="BM85"/>
          <cell r="BN85"/>
          <cell r="BO85"/>
          <cell r="BP85"/>
          <cell r="BQ85"/>
          <cell r="BR85"/>
          <cell r="BS85"/>
          <cell r="BT85"/>
          <cell r="BU85"/>
          <cell r="BV85"/>
          <cell r="BW85"/>
          <cell r="BX85"/>
          <cell r="BY85"/>
          <cell r="BZ85"/>
          <cell r="CA85"/>
          <cell r="CB85"/>
          <cell r="CC85"/>
          <cell r="CD85"/>
        </row>
        <row r="86">
          <cell r="B86" t="str">
            <v>Cerbito, John Dennies</v>
          </cell>
          <cell r="C86" t="str">
            <v>N202VB0</v>
          </cell>
          <cell r="D86">
            <v>30</v>
          </cell>
          <cell r="E86">
            <v>0.5</v>
          </cell>
          <cell r="F86">
            <v>4.5</v>
          </cell>
          <cell r="G86">
            <v>4.5</v>
          </cell>
          <cell r="H86">
            <v>9.5</v>
          </cell>
          <cell r="I86">
            <v>1.375</v>
          </cell>
          <cell r="J86">
            <v>11</v>
          </cell>
          <cell r="K86">
            <v>0.28100000000000003</v>
          </cell>
          <cell r="L86">
            <v>1</v>
          </cell>
          <cell r="M86" t="str">
            <v>Z203350</v>
          </cell>
          <cell r="N86">
            <v>97</v>
          </cell>
          <cell r="O86">
            <v>0.5</v>
          </cell>
          <cell r="P86">
            <v>145.5</v>
          </cell>
          <cell r="Q86">
            <v>5.5</v>
          </cell>
          <cell r="R86">
            <v>151.5</v>
          </cell>
          <cell r="S86">
            <v>7.0250000000000004</v>
          </cell>
          <cell r="T86">
            <v>56.2</v>
          </cell>
          <cell r="U86">
            <v>6.274</v>
          </cell>
          <cell r="V86">
            <v>3</v>
          </cell>
          <cell r="W86" t="str">
            <v>N203S80</v>
          </cell>
          <cell r="X86">
            <v>98</v>
          </cell>
          <cell r="Y86">
            <v>0.5</v>
          </cell>
          <cell r="Z86">
            <v>3.5</v>
          </cell>
          <cell r="AA86">
            <v>4.5</v>
          </cell>
          <cell r="AB86">
            <v>8.5</v>
          </cell>
          <cell r="AC86">
            <v>1.3875</v>
          </cell>
          <cell r="AD86">
            <v>11.1</v>
          </cell>
          <cell r="AE86">
            <v>0.16900000000000001</v>
          </cell>
          <cell r="AF86">
            <v>8</v>
          </cell>
          <cell r="AG86" t="str">
            <v>N214V10</v>
          </cell>
          <cell r="AH86">
            <v>231</v>
          </cell>
          <cell r="AI86">
            <v>0.5</v>
          </cell>
          <cell r="AJ86">
            <v>3.5</v>
          </cell>
          <cell r="AK86">
            <v>6</v>
          </cell>
          <cell r="AL86">
            <v>10</v>
          </cell>
          <cell r="AM86">
            <v>1.3875</v>
          </cell>
          <cell r="AN86">
            <v>11.1</v>
          </cell>
          <cell r="AO86">
            <v>0.17100000000000001</v>
          </cell>
          <cell r="AP86">
            <v>3</v>
          </cell>
          <cell r="AQ86" t="str">
            <v>N202I50</v>
          </cell>
          <cell r="AR86">
            <v>32</v>
          </cell>
          <cell r="AS86">
            <v>0.5</v>
          </cell>
          <cell r="AT86">
            <v>25</v>
          </cell>
          <cell r="AU86">
            <v>6.5</v>
          </cell>
          <cell r="AV86">
            <v>32</v>
          </cell>
          <cell r="AW86">
            <v>1.7875000000000001</v>
          </cell>
          <cell r="AX86">
            <v>14.3</v>
          </cell>
          <cell r="AY86">
            <v>1.5609999999999999</v>
          </cell>
          <cell r="AZ86">
            <v>9</v>
          </cell>
          <cell r="BA86"/>
          <cell r="BB86"/>
          <cell r="BC86"/>
          <cell r="BD86"/>
          <cell r="BE86"/>
          <cell r="BF86"/>
          <cell r="BG86"/>
          <cell r="BH86"/>
          <cell r="BI86"/>
          <cell r="BJ86"/>
          <cell r="BK86"/>
          <cell r="BL86"/>
          <cell r="BM86"/>
          <cell r="BN86"/>
          <cell r="BO86"/>
          <cell r="BP86"/>
          <cell r="BQ86"/>
          <cell r="BR86"/>
          <cell r="BS86"/>
          <cell r="BT86"/>
          <cell r="BU86"/>
          <cell r="BV86"/>
          <cell r="BW86"/>
          <cell r="BX86"/>
          <cell r="BY86"/>
          <cell r="BZ86"/>
          <cell r="CA86"/>
          <cell r="CB86"/>
          <cell r="CC86"/>
          <cell r="CD86"/>
        </row>
        <row r="87">
          <cell r="B87" t="str">
            <v>Cordero, Remon Jay</v>
          </cell>
          <cell r="C87" t="str">
            <v>Z203MX0</v>
          </cell>
          <cell r="D87">
            <v>126</v>
          </cell>
          <cell r="E87">
            <v>2.5</v>
          </cell>
          <cell r="F87">
            <v>10.5</v>
          </cell>
          <cell r="G87">
            <v>6</v>
          </cell>
          <cell r="H87">
            <v>19</v>
          </cell>
          <cell r="I87">
            <v>1.375</v>
          </cell>
          <cell r="J87">
            <v>11</v>
          </cell>
          <cell r="K87">
            <v>0.129</v>
          </cell>
          <cell r="L87">
            <v>5</v>
          </cell>
          <cell r="M87" t="str">
            <v>N202070</v>
          </cell>
          <cell r="N87">
            <v>22</v>
          </cell>
          <cell r="O87">
            <v>2</v>
          </cell>
          <cell r="P87">
            <v>10.5</v>
          </cell>
          <cell r="Q87">
            <v>14.5</v>
          </cell>
          <cell r="R87">
            <v>27</v>
          </cell>
          <cell r="S87">
            <v>8.3375000000000004</v>
          </cell>
          <cell r="T87">
            <v>66.7</v>
          </cell>
          <cell r="U87">
            <v>1.5229999999999999</v>
          </cell>
          <cell r="V87" t="str">
            <v/>
          </cell>
          <cell r="W87" t="str">
            <v>N202C70</v>
          </cell>
          <cell r="X87">
            <v>40</v>
          </cell>
          <cell r="Y87">
            <v>0.5</v>
          </cell>
          <cell r="Z87">
            <v>21.5</v>
          </cell>
          <cell r="AA87">
            <v>6</v>
          </cell>
          <cell r="AB87">
            <v>28</v>
          </cell>
          <cell r="AC87">
            <v>2.9125000000000001</v>
          </cell>
          <cell r="AD87">
            <v>23.3</v>
          </cell>
          <cell r="AE87">
            <v>1.024</v>
          </cell>
          <cell r="AF87">
            <v>5</v>
          </cell>
          <cell r="AG87" t="str">
            <v>N202200</v>
          </cell>
          <cell r="AH87">
            <v>29</v>
          </cell>
          <cell r="AI87">
            <v>1.5</v>
          </cell>
          <cell r="AJ87">
            <v>6.5</v>
          </cell>
          <cell r="AK87">
            <v>9.5</v>
          </cell>
          <cell r="AL87">
            <v>17.5</v>
          </cell>
          <cell r="AM87">
            <v>1.375</v>
          </cell>
          <cell r="AN87">
            <v>11</v>
          </cell>
          <cell r="AO87">
            <v>0.10100000000000001</v>
          </cell>
          <cell r="AP87">
            <v>14</v>
          </cell>
          <cell r="AQ87" t="str">
            <v>JK02M30</v>
          </cell>
          <cell r="AR87">
            <v>34</v>
          </cell>
          <cell r="AS87">
            <v>2</v>
          </cell>
          <cell r="AT87">
            <v>12.5</v>
          </cell>
          <cell r="AU87">
            <v>10</v>
          </cell>
          <cell r="AV87">
            <v>24.5</v>
          </cell>
          <cell r="AW87">
            <v>1.75</v>
          </cell>
          <cell r="AX87">
            <v>14</v>
          </cell>
          <cell r="AY87">
            <v>0.255</v>
          </cell>
          <cell r="AZ87">
            <v>4</v>
          </cell>
          <cell r="BA87" t="str">
            <v>JA02D10G</v>
          </cell>
          <cell r="BB87">
            <v>16</v>
          </cell>
          <cell r="BC87">
            <v>1</v>
          </cell>
          <cell r="BD87">
            <v>10</v>
          </cell>
          <cell r="BE87">
            <v>4</v>
          </cell>
          <cell r="BF87">
            <v>15</v>
          </cell>
          <cell r="BG87">
            <v>1.3</v>
          </cell>
          <cell r="BH87">
            <v>10.4</v>
          </cell>
          <cell r="BI87" t="str">
            <v/>
          </cell>
          <cell r="BJ87">
            <v>3</v>
          </cell>
          <cell r="BK87" t="str">
            <v>N2J1300G</v>
          </cell>
          <cell r="BL87">
            <v>177</v>
          </cell>
          <cell r="BM87" t="str">
            <v/>
          </cell>
          <cell r="BN87" t="str">
            <v/>
          </cell>
          <cell r="BO87" t="str">
            <v/>
          </cell>
          <cell r="BP87" t="str">
            <v/>
          </cell>
          <cell r="BQ87">
            <v>2.7937500000000002</v>
          </cell>
          <cell r="BR87">
            <v>22.35</v>
          </cell>
          <cell r="BS87" t="str">
            <v/>
          </cell>
          <cell r="BT87" t="str">
            <v/>
          </cell>
          <cell r="BU87" t="str">
            <v>N2J1301G</v>
          </cell>
          <cell r="BV87">
            <v>178</v>
          </cell>
          <cell r="BW87" t="str">
            <v/>
          </cell>
          <cell r="BX87" t="str">
            <v/>
          </cell>
          <cell r="BY87" t="str">
            <v/>
          </cell>
          <cell r="BZ87" t="str">
            <v/>
          </cell>
          <cell r="CA87">
            <v>2.2999999999999998</v>
          </cell>
          <cell r="CB87">
            <v>18.399999999999999</v>
          </cell>
          <cell r="CC87" t="str">
            <v/>
          </cell>
          <cell r="CD87" t="str">
            <v/>
          </cell>
        </row>
        <row r="88">
          <cell r="B88" t="str">
            <v>Estoperez, Mary Grace</v>
          </cell>
          <cell r="C88" t="str">
            <v>Z203W30</v>
          </cell>
          <cell r="D88">
            <v>102</v>
          </cell>
          <cell r="E88">
            <v>0.5</v>
          </cell>
          <cell r="F88">
            <v>3.3</v>
          </cell>
          <cell r="G88">
            <v>4</v>
          </cell>
          <cell r="H88">
            <v>7.8</v>
          </cell>
          <cell r="I88">
            <v>1.9875</v>
          </cell>
          <cell r="J88">
            <v>15.9</v>
          </cell>
          <cell r="K88">
            <v>6.6000000000000003E-2</v>
          </cell>
          <cell r="L88">
            <v>3</v>
          </cell>
          <cell r="M88" t="str">
            <v>N200200</v>
          </cell>
          <cell r="N88">
            <v>9</v>
          </cell>
          <cell r="O88">
            <v>1</v>
          </cell>
          <cell r="P88">
            <v>22.5</v>
          </cell>
          <cell r="Q88">
            <v>21.5</v>
          </cell>
          <cell r="R88">
            <v>45</v>
          </cell>
          <cell r="S88">
            <v>6.5250000000000004</v>
          </cell>
          <cell r="T88">
            <v>52.2</v>
          </cell>
          <cell r="U88">
            <v>1.9490000000000001</v>
          </cell>
          <cell r="V88">
            <v>9</v>
          </cell>
          <cell r="W88" t="str">
            <v>JK02M90</v>
          </cell>
          <cell r="X88">
            <v>37</v>
          </cell>
          <cell r="Y88">
            <v>0.5</v>
          </cell>
          <cell r="Z88">
            <v>7</v>
          </cell>
          <cell r="AA88">
            <v>6.5</v>
          </cell>
          <cell r="AB88">
            <v>14</v>
          </cell>
          <cell r="AC88">
            <v>2.4875000000000003</v>
          </cell>
          <cell r="AD88">
            <v>19.900000000000002</v>
          </cell>
          <cell r="AE88">
            <v>0.23400000000000001</v>
          </cell>
          <cell r="AF88">
            <v>4</v>
          </cell>
          <cell r="AG88"/>
          <cell r="AH88"/>
          <cell r="AI88"/>
          <cell r="AJ88"/>
          <cell r="AK88"/>
          <cell r="AL88"/>
          <cell r="AM88"/>
          <cell r="AN88"/>
          <cell r="AO88"/>
          <cell r="AP88"/>
          <cell r="AQ88"/>
          <cell r="AR88"/>
          <cell r="AS88"/>
          <cell r="AT88"/>
          <cell r="AU88"/>
          <cell r="AV88"/>
          <cell r="AW88"/>
          <cell r="AX88"/>
          <cell r="AY88"/>
          <cell r="AZ88"/>
          <cell r="BA88"/>
          <cell r="BB88"/>
          <cell r="BC88"/>
          <cell r="BD88"/>
          <cell r="BE88"/>
          <cell r="BF88"/>
          <cell r="BG88"/>
          <cell r="BH88"/>
          <cell r="BI88"/>
          <cell r="BJ88"/>
          <cell r="BK88"/>
          <cell r="BL88"/>
          <cell r="BM88"/>
          <cell r="BN88"/>
          <cell r="BO88"/>
          <cell r="BP88"/>
          <cell r="BQ88"/>
          <cell r="BR88"/>
          <cell r="BS88"/>
          <cell r="BT88"/>
          <cell r="BU88"/>
          <cell r="BV88"/>
          <cell r="BW88"/>
          <cell r="BX88"/>
          <cell r="BY88"/>
          <cell r="BZ88"/>
          <cell r="CA88"/>
          <cell r="CB88"/>
          <cell r="CC88"/>
          <cell r="CD88"/>
        </row>
        <row r="89">
          <cell r="B89" t="str">
            <v>Gadiane, Ronie</v>
          </cell>
          <cell r="C89" t="str">
            <v>Z203SA0</v>
          </cell>
          <cell r="D89">
            <v>121</v>
          </cell>
          <cell r="E89">
            <v>2</v>
          </cell>
          <cell r="F89">
            <v>10.5</v>
          </cell>
          <cell r="G89" t="str">
            <v/>
          </cell>
          <cell r="H89">
            <v>12.5</v>
          </cell>
          <cell r="I89">
            <v>1.3625</v>
          </cell>
          <cell r="J89">
            <v>10.9</v>
          </cell>
          <cell r="K89" t="str">
            <v/>
          </cell>
          <cell r="L89">
            <v>3</v>
          </cell>
          <cell r="M89" t="str">
            <v>N214011</v>
          </cell>
          <cell r="N89">
            <v>225</v>
          </cell>
          <cell r="O89">
            <v>0.5</v>
          </cell>
          <cell r="P89">
            <v>28.5</v>
          </cell>
          <cell r="Q89">
            <v>18</v>
          </cell>
          <cell r="R89">
            <v>47</v>
          </cell>
          <cell r="S89">
            <v>8.3500000000000014</v>
          </cell>
          <cell r="T89">
            <v>66.800000000000011</v>
          </cell>
          <cell r="U89">
            <v>2.4</v>
          </cell>
          <cell r="V89" t="str">
            <v/>
          </cell>
          <cell r="W89" t="str">
            <v>ZA03A00</v>
          </cell>
          <cell r="X89">
            <v>86</v>
          </cell>
          <cell r="Y89" t="str">
            <v/>
          </cell>
          <cell r="Z89" t="str">
            <v/>
          </cell>
          <cell r="AA89" t="str">
            <v/>
          </cell>
          <cell r="AB89" t="str">
            <v/>
          </cell>
          <cell r="AC89">
            <v>1.7625</v>
          </cell>
          <cell r="AD89">
            <v>14.1</v>
          </cell>
          <cell r="AE89" t="str">
            <v/>
          </cell>
          <cell r="AF89" t="str">
            <v/>
          </cell>
          <cell r="AG89" t="str">
            <v>ZA03A00</v>
          </cell>
          <cell r="AH89">
            <v>86</v>
          </cell>
          <cell r="AI89" t="str">
            <v/>
          </cell>
          <cell r="AJ89" t="str">
            <v/>
          </cell>
          <cell r="AK89" t="str">
            <v/>
          </cell>
          <cell r="AL89" t="str">
            <v/>
          </cell>
          <cell r="AM89">
            <v>1.7625</v>
          </cell>
          <cell r="AN89">
            <v>14.1</v>
          </cell>
          <cell r="AO89" t="str">
            <v/>
          </cell>
          <cell r="AP89" t="str">
            <v/>
          </cell>
          <cell r="AQ89" t="str">
            <v>N202510G</v>
          </cell>
          <cell r="AR89">
            <v>39</v>
          </cell>
          <cell r="AS89">
            <v>0.5</v>
          </cell>
          <cell r="AT89">
            <v>5</v>
          </cell>
          <cell r="AU89">
            <v>8</v>
          </cell>
          <cell r="AV89">
            <v>13.5</v>
          </cell>
          <cell r="AW89">
            <v>1.3125</v>
          </cell>
          <cell r="AX89">
            <v>10.5</v>
          </cell>
          <cell r="AY89">
            <v>0.1</v>
          </cell>
          <cell r="AZ89">
            <v>4</v>
          </cell>
          <cell r="BA89"/>
          <cell r="BB89"/>
          <cell r="BC89"/>
          <cell r="BD89"/>
          <cell r="BE89"/>
          <cell r="BF89"/>
          <cell r="BG89"/>
          <cell r="BH89"/>
          <cell r="BI89"/>
          <cell r="BJ89"/>
          <cell r="BK89"/>
          <cell r="BL89"/>
          <cell r="BM89"/>
          <cell r="BN89"/>
          <cell r="BO89"/>
          <cell r="BP89"/>
          <cell r="BQ89"/>
          <cell r="BR89"/>
          <cell r="BS89"/>
          <cell r="BT89"/>
          <cell r="BU89"/>
          <cell r="BV89"/>
          <cell r="BW89"/>
          <cell r="BX89"/>
          <cell r="BY89"/>
          <cell r="BZ89"/>
          <cell r="CA89"/>
          <cell r="CB89"/>
          <cell r="CC89"/>
          <cell r="CD89"/>
        </row>
        <row r="90">
          <cell r="B90" t="str">
            <v>Hapon, Ruzzel</v>
          </cell>
          <cell r="C90" t="str">
            <v>N203310</v>
          </cell>
          <cell r="D90">
            <v>115</v>
          </cell>
          <cell r="E90">
            <v>3</v>
          </cell>
          <cell r="F90">
            <v>3.5</v>
          </cell>
          <cell r="G90">
            <v>4</v>
          </cell>
          <cell r="H90">
            <v>10.5</v>
          </cell>
          <cell r="I90">
            <v>1.3875</v>
          </cell>
          <cell r="J90">
            <v>11.1</v>
          </cell>
          <cell r="K90">
            <v>0.16400000000000001</v>
          </cell>
          <cell r="L90">
            <v>4</v>
          </cell>
          <cell r="M90" t="str">
            <v>Z203J80</v>
          </cell>
          <cell r="N90">
            <v>150</v>
          </cell>
          <cell r="O90">
            <v>2</v>
          </cell>
          <cell r="P90">
            <v>7.5</v>
          </cell>
          <cell r="Q90">
            <v>6.5</v>
          </cell>
          <cell r="R90">
            <v>16</v>
          </cell>
          <cell r="S90">
            <v>1.9875</v>
          </cell>
          <cell r="T90">
            <v>15.9</v>
          </cell>
          <cell r="U90">
            <v>9.7000000000000003E-2</v>
          </cell>
          <cell r="V90">
            <v>8</v>
          </cell>
          <cell r="W90" t="str">
            <v>N202VK0</v>
          </cell>
          <cell r="X90">
            <v>214</v>
          </cell>
          <cell r="Y90">
            <v>1</v>
          </cell>
          <cell r="Z90">
            <v>7</v>
          </cell>
          <cell r="AA90">
            <v>6</v>
          </cell>
          <cell r="AB90">
            <v>14</v>
          </cell>
          <cell r="AC90">
            <v>1.75</v>
          </cell>
          <cell r="AD90">
            <v>14</v>
          </cell>
          <cell r="AE90">
            <v>0.16200000000000001</v>
          </cell>
          <cell r="AF90">
            <v>3</v>
          </cell>
          <cell r="AG90" t="str">
            <v>Z202NG0</v>
          </cell>
          <cell r="AH90">
            <v>220</v>
          </cell>
          <cell r="AI90">
            <v>1</v>
          </cell>
          <cell r="AJ90">
            <v>10</v>
          </cell>
          <cell r="AK90">
            <v>9</v>
          </cell>
          <cell r="AL90">
            <v>20</v>
          </cell>
          <cell r="AM90">
            <v>2.8750000000000004</v>
          </cell>
          <cell r="AN90">
            <v>23.000000000000004</v>
          </cell>
          <cell r="AO90">
            <v>0.32</v>
          </cell>
          <cell r="AP90" t="str">
            <v/>
          </cell>
          <cell r="AQ90" t="str">
            <v>N200460</v>
          </cell>
          <cell r="AR90">
            <v>12</v>
          </cell>
          <cell r="AS90">
            <v>1</v>
          </cell>
          <cell r="AT90">
            <v>6</v>
          </cell>
          <cell r="AU90">
            <v>7</v>
          </cell>
          <cell r="AV90">
            <v>14</v>
          </cell>
          <cell r="AW90">
            <v>2</v>
          </cell>
          <cell r="AX90">
            <v>16</v>
          </cell>
          <cell r="AY90">
            <v>0.14000000000000001</v>
          </cell>
          <cell r="AZ90">
            <v>6</v>
          </cell>
          <cell r="BA90" t="str">
            <v>N200470</v>
          </cell>
          <cell r="BB90">
            <v>13</v>
          </cell>
          <cell r="BC90">
            <v>1</v>
          </cell>
          <cell r="BD90">
            <v>6</v>
          </cell>
          <cell r="BE90" t="str">
            <v/>
          </cell>
          <cell r="BF90">
            <v>7</v>
          </cell>
          <cell r="BG90">
            <v>2</v>
          </cell>
          <cell r="BH90">
            <v>16</v>
          </cell>
          <cell r="BI90">
            <v>0.13400000000000001</v>
          </cell>
          <cell r="BJ90">
            <v>4</v>
          </cell>
          <cell r="BK90"/>
          <cell r="BL90"/>
          <cell r="BM90"/>
          <cell r="BN90"/>
          <cell r="BO90"/>
          <cell r="BP90"/>
          <cell r="BQ90"/>
          <cell r="BR90"/>
          <cell r="BS90"/>
          <cell r="BT90"/>
          <cell r="BU90"/>
          <cell r="BV90"/>
          <cell r="BW90"/>
          <cell r="BX90"/>
          <cell r="BY90"/>
          <cell r="BZ90"/>
          <cell r="CA90"/>
          <cell r="CB90"/>
          <cell r="CC90"/>
          <cell r="CD90"/>
        </row>
        <row r="91">
          <cell r="B91" t="str">
            <v>Jacinto, Peter Joshua</v>
          </cell>
          <cell r="C91" t="str">
            <v>N203320</v>
          </cell>
          <cell r="D91" t="str">
            <v>#NA</v>
          </cell>
          <cell r="E91"/>
          <cell r="F91"/>
          <cell r="G91"/>
          <cell r="H91" t="str">
            <v/>
          </cell>
          <cell r="I91"/>
          <cell r="J91"/>
          <cell r="K91"/>
          <cell r="L91" t="e">
            <v>#VALUE!</v>
          </cell>
          <cell r="M91" t="str">
            <v>Z201010</v>
          </cell>
          <cell r="N91">
            <v>14</v>
          </cell>
          <cell r="O91">
            <v>1</v>
          </cell>
          <cell r="P91">
            <v>10</v>
          </cell>
          <cell r="Q91">
            <v>10</v>
          </cell>
          <cell r="R91">
            <v>21</v>
          </cell>
          <cell r="S91">
            <v>2.9375</v>
          </cell>
          <cell r="T91">
            <v>23.5</v>
          </cell>
          <cell r="U91">
            <v>0.91400000000000003</v>
          </cell>
          <cell r="V91">
            <v>5</v>
          </cell>
          <cell r="W91" t="str">
            <v>N203090</v>
          </cell>
          <cell r="X91" t="str">
            <v>#NA</v>
          </cell>
          <cell r="Y91"/>
          <cell r="Z91"/>
          <cell r="AA91"/>
          <cell r="AB91" t="str">
            <v/>
          </cell>
          <cell r="AC91"/>
          <cell r="AD91"/>
          <cell r="AE91" t="e">
            <v>#VALUE!</v>
          </cell>
          <cell r="AF91" t="e">
            <v>#VALUE!</v>
          </cell>
          <cell r="AG91" t="str">
            <v>Z203MR0</v>
          </cell>
          <cell r="AH91">
            <v>144</v>
          </cell>
          <cell r="AI91">
            <v>1</v>
          </cell>
          <cell r="AJ91">
            <v>5</v>
          </cell>
          <cell r="AK91">
            <v>8</v>
          </cell>
          <cell r="AL91">
            <v>14</v>
          </cell>
          <cell r="AM91">
            <v>1.9875</v>
          </cell>
          <cell r="AN91">
            <v>15.9</v>
          </cell>
          <cell r="AO91">
            <v>8.7999999999999995E-2</v>
          </cell>
          <cell r="AP91">
            <v>3</v>
          </cell>
          <cell r="AQ91" t="str">
            <v>Z202NC0</v>
          </cell>
          <cell r="AR91">
            <v>215</v>
          </cell>
          <cell r="AS91">
            <v>1</v>
          </cell>
          <cell r="AT91">
            <v>5</v>
          </cell>
          <cell r="AU91">
            <v>5</v>
          </cell>
          <cell r="AV91">
            <v>11</v>
          </cell>
          <cell r="AW91">
            <v>1.3875</v>
          </cell>
          <cell r="AX91">
            <v>11.1</v>
          </cell>
          <cell r="AY91">
            <v>0.41499999999999998</v>
          </cell>
          <cell r="AZ91">
            <v>2</v>
          </cell>
          <cell r="BA91" t="str">
            <v>Z202800</v>
          </cell>
          <cell r="BB91">
            <v>221</v>
          </cell>
          <cell r="BC91">
            <v>1</v>
          </cell>
          <cell r="BD91">
            <v>5.5</v>
          </cell>
          <cell r="BE91">
            <v>4</v>
          </cell>
          <cell r="BF91">
            <v>10.5</v>
          </cell>
          <cell r="BG91">
            <v>1.3875</v>
          </cell>
          <cell r="BH91">
            <v>11.1</v>
          </cell>
          <cell r="BI91">
            <v>0.16400000000000001</v>
          </cell>
          <cell r="BJ91">
            <v>3</v>
          </cell>
          <cell r="BK91" t="str">
            <v>N240440</v>
          </cell>
          <cell r="BL91">
            <v>280</v>
          </cell>
          <cell r="BM91">
            <v>1</v>
          </cell>
          <cell r="BN91">
            <v>7.5</v>
          </cell>
          <cell r="BO91">
            <v>12</v>
          </cell>
          <cell r="BP91">
            <v>20.5</v>
          </cell>
          <cell r="BQ91">
            <v>2.9125000000000001</v>
          </cell>
          <cell r="BR91">
            <v>23.3</v>
          </cell>
          <cell r="BS91">
            <v>1.071</v>
          </cell>
          <cell r="BT91">
            <v>4</v>
          </cell>
          <cell r="BU91" t="str">
            <v>N203X60G</v>
          </cell>
          <cell r="BV91">
            <v>134</v>
          </cell>
          <cell r="BW91">
            <v>1</v>
          </cell>
          <cell r="BX91">
            <v>9</v>
          </cell>
          <cell r="BY91">
            <v>9</v>
          </cell>
          <cell r="BZ91">
            <v>19</v>
          </cell>
          <cell r="CA91">
            <v>2.8187500000000001</v>
          </cell>
          <cell r="CB91">
            <v>22.55</v>
          </cell>
          <cell r="CC91">
            <v>0.755</v>
          </cell>
          <cell r="CD91">
            <v>4</v>
          </cell>
        </row>
        <row r="92">
          <cell r="B92" t="str">
            <v>Lallo, Ermilo</v>
          </cell>
          <cell r="C92" t="str">
            <v>Z284570</v>
          </cell>
          <cell r="D92" t="str">
            <v>#NA</v>
          </cell>
          <cell r="E92"/>
          <cell r="F92"/>
          <cell r="G92"/>
          <cell r="H92" t="str">
            <v/>
          </cell>
          <cell r="I92"/>
          <cell r="J92"/>
          <cell r="K92"/>
          <cell r="L92" t="e">
            <v>#VALUE!</v>
          </cell>
          <cell r="M92" t="str">
            <v>Z284580</v>
          </cell>
          <cell r="N92">
            <v>204</v>
          </cell>
          <cell r="O92">
            <v>1.5</v>
          </cell>
          <cell r="P92">
            <v>8</v>
          </cell>
          <cell r="Q92">
            <v>9.5</v>
          </cell>
          <cell r="R92">
            <v>19</v>
          </cell>
          <cell r="S92">
            <v>2</v>
          </cell>
          <cell r="T92">
            <v>16</v>
          </cell>
          <cell r="U92">
            <v>0.373</v>
          </cell>
          <cell r="V92">
            <v>5</v>
          </cell>
          <cell r="W92" t="str">
            <v>N214040</v>
          </cell>
          <cell r="X92">
            <v>228</v>
          </cell>
          <cell r="Y92">
            <v>2</v>
          </cell>
          <cell r="Z92">
            <v>9</v>
          </cell>
          <cell r="AA92">
            <v>5</v>
          </cell>
          <cell r="AB92">
            <v>16</v>
          </cell>
          <cell r="AC92">
            <v>2.9000000000000004</v>
          </cell>
          <cell r="AD92">
            <v>23.200000000000003</v>
          </cell>
          <cell r="AE92">
            <v>3.2</v>
          </cell>
          <cell r="AF92" t="str">
            <v/>
          </cell>
          <cell r="AG92" t="str">
            <v>Z206510</v>
          </cell>
          <cell r="AH92">
            <v>173</v>
          </cell>
          <cell r="AI92">
            <v>2</v>
          </cell>
          <cell r="AJ92">
            <v>15</v>
          </cell>
          <cell r="AK92">
            <v>19</v>
          </cell>
          <cell r="AL92">
            <v>36</v>
          </cell>
          <cell r="AM92">
            <v>2.9250000000000003</v>
          </cell>
          <cell r="AN92">
            <v>23.400000000000002</v>
          </cell>
          <cell r="AO92">
            <v>1.1000000000000001</v>
          </cell>
          <cell r="AP92">
            <v>6</v>
          </cell>
          <cell r="AQ92" t="str">
            <v>Z206511</v>
          </cell>
          <cell r="AR92">
            <v>174</v>
          </cell>
          <cell r="AS92">
            <v>1</v>
          </cell>
          <cell r="AT92">
            <v>11</v>
          </cell>
          <cell r="AU92">
            <v>10</v>
          </cell>
          <cell r="AV92">
            <v>22</v>
          </cell>
          <cell r="AW92">
            <v>2.3249999999999997</v>
          </cell>
          <cell r="AX92">
            <v>18.599999999999998</v>
          </cell>
          <cell r="AY92">
            <v>1.8009999999999999</v>
          </cell>
          <cell r="AZ92">
            <v>4</v>
          </cell>
          <cell r="BA92"/>
          <cell r="BB92"/>
          <cell r="BC92"/>
          <cell r="BD92"/>
          <cell r="BE92"/>
          <cell r="BF92"/>
          <cell r="BG92"/>
          <cell r="BH92"/>
          <cell r="BI92"/>
          <cell r="BJ92"/>
          <cell r="BK92"/>
          <cell r="BL92"/>
          <cell r="BM92"/>
          <cell r="BN92"/>
          <cell r="BO92"/>
          <cell r="BP92"/>
          <cell r="BQ92"/>
          <cell r="BR92"/>
          <cell r="BS92"/>
          <cell r="BT92"/>
          <cell r="BU92"/>
          <cell r="BV92"/>
          <cell r="BW92"/>
          <cell r="BX92"/>
          <cell r="BY92"/>
          <cell r="BZ92"/>
          <cell r="CA92"/>
          <cell r="CB92"/>
          <cell r="CC92"/>
          <cell r="CD92"/>
        </row>
        <row r="93">
          <cell r="B93" t="str">
            <v>Payos, Joe Marie</v>
          </cell>
          <cell r="C93" t="str">
            <v>Z206MA0</v>
          </cell>
          <cell r="D93">
            <v>172</v>
          </cell>
          <cell r="E93">
            <v>0.5</v>
          </cell>
          <cell r="F93">
            <v>6.5</v>
          </cell>
          <cell r="G93">
            <v>3.5</v>
          </cell>
          <cell r="H93">
            <v>10.5</v>
          </cell>
          <cell r="I93">
            <v>1.3875</v>
          </cell>
          <cell r="J93">
            <v>11.1</v>
          </cell>
          <cell r="K93">
            <v>0.30099999999999999</v>
          </cell>
          <cell r="L93">
            <v>11</v>
          </cell>
          <cell r="M93" t="str">
            <v>TK02010</v>
          </cell>
          <cell r="N93">
            <v>238</v>
          </cell>
          <cell r="O93">
            <v>0.5</v>
          </cell>
          <cell r="P93">
            <v>6</v>
          </cell>
          <cell r="Q93">
            <v>4</v>
          </cell>
          <cell r="R93">
            <v>10.5</v>
          </cell>
          <cell r="S93">
            <v>1.3625</v>
          </cell>
          <cell r="T93">
            <v>10.9</v>
          </cell>
          <cell r="U93">
            <v>0.09</v>
          </cell>
          <cell r="V93">
            <v>6</v>
          </cell>
          <cell r="W93" t="str">
            <v>N203V20</v>
          </cell>
          <cell r="X93">
            <v>151</v>
          </cell>
          <cell r="Y93">
            <v>1</v>
          </cell>
          <cell r="Z93">
            <v>7.5</v>
          </cell>
          <cell r="AA93">
            <v>6.5</v>
          </cell>
          <cell r="AB93">
            <v>15</v>
          </cell>
          <cell r="AC93">
            <v>3.2875000000000001</v>
          </cell>
          <cell r="AD93">
            <v>26.3</v>
          </cell>
          <cell r="AE93">
            <v>0.755</v>
          </cell>
          <cell r="AF93">
            <v>5</v>
          </cell>
          <cell r="AG93" t="str">
            <v>Z205M20</v>
          </cell>
          <cell r="AH93">
            <v>170</v>
          </cell>
          <cell r="AI93">
            <v>0.5</v>
          </cell>
          <cell r="AJ93">
            <v>6</v>
          </cell>
          <cell r="AK93">
            <v>4</v>
          </cell>
          <cell r="AL93">
            <v>10.5</v>
          </cell>
          <cell r="AM93">
            <v>1.9875</v>
          </cell>
          <cell r="AN93">
            <v>15.9</v>
          </cell>
          <cell r="AO93">
            <v>0.158</v>
          </cell>
          <cell r="AP93">
            <v>5</v>
          </cell>
          <cell r="AQ93" t="str">
            <v>N20D130</v>
          </cell>
          <cell r="AR93">
            <v>131</v>
          </cell>
          <cell r="AS93">
            <v>0.5</v>
          </cell>
          <cell r="AT93">
            <v>6</v>
          </cell>
          <cell r="AU93">
            <v>4</v>
          </cell>
          <cell r="AV93">
            <v>10.5</v>
          </cell>
          <cell r="AW93">
            <v>2</v>
          </cell>
          <cell r="AX93">
            <v>16</v>
          </cell>
          <cell r="AY93">
            <v>0.123</v>
          </cell>
          <cell r="AZ93">
            <v>0</v>
          </cell>
          <cell r="BA93" t="str">
            <v>N20D140</v>
          </cell>
          <cell r="BB93">
            <v>132</v>
          </cell>
          <cell r="BC93">
            <v>0.5</v>
          </cell>
          <cell r="BD93">
            <v>6</v>
          </cell>
          <cell r="BE93">
            <v>4</v>
          </cell>
          <cell r="BF93">
            <v>10.5</v>
          </cell>
          <cell r="BG93">
            <v>1.375</v>
          </cell>
          <cell r="BH93">
            <v>11</v>
          </cell>
          <cell r="BI93">
            <v>0.1</v>
          </cell>
          <cell r="BJ93">
            <v>2</v>
          </cell>
          <cell r="BK93" t="str">
            <v>N203D40G</v>
          </cell>
          <cell r="BL93">
            <v>110</v>
          </cell>
          <cell r="BM93">
            <v>1</v>
          </cell>
          <cell r="BN93">
            <v>11</v>
          </cell>
          <cell r="BO93">
            <v>6.5</v>
          </cell>
          <cell r="BP93">
            <v>18.5</v>
          </cell>
          <cell r="BQ93">
            <v>2.8312500000000003</v>
          </cell>
          <cell r="BR93">
            <v>22.650000000000002</v>
          </cell>
          <cell r="BS93">
            <v>2.0259999999999998</v>
          </cell>
          <cell r="BT93">
            <v>3</v>
          </cell>
          <cell r="BU93" t="str">
            <v>N203D41G</v>
          </cell>
          <cell r="BV93">
            <v>111</v>
          </cell>
          <cell r="BW93">
            <v>1</v>
          </cell>
          <cell r="BX93">
            <v>9</v>
          </cell>
          <cell r="BY93">
            <v>11</v>
          </cell>
          <cell r="BZ93">
            <v>21</v>
          </cell>
          <cell r="CA93">
            <v>4.625</v>
          </cell>
          <cell r="CB93">
            <v>37</v>
          </cell>
          <cell r="CC93">
            <v>0.91900000000000004</v>
          </cell>
          <cell r="CD93">
            <v>2</v>
          </cell>
        </row>
        <row r="94">
          <cell r="B94" t="str">
            <v>Profugo, Trister Bryan</v>
          </cell>
          <cell r="C94" t="str">
            <v>ZA84610</v>
          </cell>
          <cell r="D94">
            <v>205</v>
          </cell>
          <cell r="E94">
            <v>1</v>
          </cell>
          <cell r="F94">
            <v>4.5</v>
          </cell>
          <cell r="G94">
            <v>5</v>
          </cell>
          <cell r="H94">
            <v>10.5</v>
          </cell>
          <cell r="I94">
            <v>1.4000000000000001</v>
          </cell>
          <cell r="J94">
            <v>11.200000000000001</v>
          </cell>
          <cell r="K94">
            <v>0.74299999999999999</v>
          </cell>
          <cell r="L94">
            <v>8</v>
          </cell>
          <cell r="M94" t="str">
            <v>ZA84620</v>
          </cell>
          <cell r="N94">
            <v>206</v>
          </cell>
          <cell r="O94">
            <v>1</v>
          </cell>
          <cell r="P94">
            <v>7</v>
          </cell>
          <cell r="Q94">
            <v>7</v>
          </cell>
          <cell r="R94">
            <v>15</v>
          </cell>
          <cell r="S94">
            <v>2</v>
          </cell>
          <cell r="T94">
            <v>16</v>
          </cell>
          <cell r="U94">
            <v>0.27500000000000002</v>
          </cell>
          <cell r="V94">
            <v>7</v>
          </cell>
          <cell r="W94" t="str">
            <v>N202N60</v>
          </cell>
          <cell r="X94">
            <v>207</v>
          </cell>
          <cell r="Y94">
            <v>1</v>
          </cell>
          <cell r="Z94">
            <v>10</v>
          </cell>
          <cell r="AA94">
            <v>10</v>
          </cell>
          <cell r="AB94">
            <v>21</v>
          </cell>
          <cell r="AC94">
            <v>2.8750000000000004</v>
          </cell>
          <cell r="AD94">
            <v>23.000000000000004</v>
          </cell>
          <cell r="AE94">
            <v>0.34799999999999998</v>
          </cell>
          <cell r="AF94">
            <v>2</v>
          </cell>
          <cell r="AG94" t="str">
            <v>Z202670</v>
          </cell>
          <cell r="AH94">
            <v>208</v>
          </cell>
          <cell r="AI94">
            <v>16.5</v>
          </cell>
          <cell r="AJ94">
            <v>1</v>
          </cell>
          <cell r="AK94">
            <v>5.5</v>
          </cell>
          <cell r="AL94">
            <v>23</v>
          </cell>
          <cell r="AM94">
            <v>2.9375</v>
          </cell>
          <cell r="AN94">
            <v>23.5</v>
          </cell>
          <cell r="AO94">
            <v>1.2649999999999999</v>
          </cell>
          <cell r="AP94">
            <v>8</v>
          </cell>
          <cell r="AQ94" t="str">
            <v>N214020</v>
          </cell>
          <cell r="AR94">
            <v>226</v>
          </cell>
          <cell r="AS94">
            <v>16</v>
          </cell>
          <cell r="AT94">
            <v>1</v>
          </cell>
          <cell r="AU94">
            <v>5.5</v>
          </cell>
          <cell r="AV94">
            <v>22.5</v>
          </cell>
          <cell r="AW94">
            <v>2.9250000000000003</v>
          </cell>
          <cell r="AX94">
            <v>23.400000000000002</v>
          </cell>
          <cell r="AY94">
            <v>0.69699999999999995</v>
          </cell>
          <cell r="AZ94">
            <v>6</v>
          </cell>
          <cell r="BA94"/>
          <cell r="BB94"/>
          <cell r="BC94"/>
          <cell r="BD94"/>
          <cell r="BE94"/>
          <cell r="BF94"/>
          <cell r="BG94"/>
          <cell r="BH94"/>
          <cell r="BI94"/>
          <cell r="BJ94"/>
          <cell r="BK94"/>
          <cell r="BL94"/>
          <cell r="BM94"/>
          <cell r="BN94"/>
          <cell r="BO94"/>
          <cell r="BP94"/>
          <cell r="BQ94"/>
          <cell r="BR94"/>
          <cell r="BS94"/>
          <cell r="BT94"/>
          <cell r="BU94"/>
          <cell r="BV94"/>
          <cell r="BW94"/>
          <cell r="BX94"/>
          <cell r="BY94"/>
          <cell r="BZ94"/>
          <cell r="CA94"/>
          <cell r="CB94"/>
          <cell r="CC94"/>
          <cell r="CD94"/>
        </row>
        <row r="95">
          <cell r="B95" t="str">
            <v>Go, Zachary</v>
          </cell>
          <cell r="C95" t="str">
            <v>N202N50</v>
          </cell>
          <cell r="D95">
            <v>209</v>
          </cell>
          <cell r="E95">
            <v>3</v>
          </cell>
          <cell r="F95">
            <v>2</v>
          </cell>
          <cell r="G95">
            <v>5.5</v>
          </cell>
          <cell r="H95">
            <v>10.5</v>
          </cell>
          <cell r="I95">
            <v>1.375</v>
          </cell>
          <cell r="J95">
            <v>11</v>
          </cell>
          <cell r="K95">
            <v>0.27500000000000002</v>
          </cell>
          <cell r="L95">
            <v>1</v>
          </cell>
          <cell r="M95" t="str">
            <v>N214240</v>
          </cell>
          <cell r="N95">
            <v>235</v>
          </cell>
          <cell r="O95">
            <v>1</v>
          </cell>
          <cell r="P95">
            <v>7.5</v>
          </cell>
          <cell r="Q95">
            <v>45.5</v>
          </cell>
          <cell r="R95">
            <v>54</v>
          </cell>
          <cell r="S95">
            <v>2.9125000000000001</v>
          </cell>
          <cell r="T95">
            <v>23.3</v>
          </cell>
          <cell r="U95">
            <v>3.1219999999999999</v>
          </cell>
          <cell r="V95">
            <v>7</v>
          </cell>
          <cell r="W95" t="str">
            <v>N214241</v>
          </cell>
          <cell r="X95">
            <v>236</v>
          </cell>
          <cell r="Y95">
            <v>2</v>
          </cell>
          <cell r="Z95">
            <v>27.25</v>
          </cell>
          <cell r="AA95" t="str">
            <v/>
          </cell>
          <cell r="AB95">
            <v>29.25</v>
          </cell>
          <cell r="AC95">
            <v>7.1</v>
          </cell>
          <cell r="AD95">
            <v>56.8</v>
          </cell>
          <cell r="AE95" t="str">
            <v/>
          </cell>
          <cell r="AF95" t="str">
            <v/>
          </cell>
          <cell r="AG95" t="str">
            <v>Z203M70</v>
          </cell>
          <cell r="AH95">
            <v>105</v>
          </cell>
          <cell r="AI95" t="str">
            <v/>
          </cell>
          <cell r="AJ95" t="str">
            <v/>
          </cell>
          <cell r="AK95" t="str">
            <v/>
          </cell>
          <cell r="AL95" t="str">
            <v/>
          </cell>
          <cell r="AM95">
            <v>1.375</v>
          </cell>
          <cell r="AN95">
            <v>11</v>
          </cell>
          <cell r="AO95" t="str">
            <v/>
          </cell>
          <cell r="AP95">
            <v>2</v>
          </cell>
          <cell r="AQ95"/>
          <cell r="AR95"/>
          <cell r="AS95"/>
          <cell r="AT95"/>
          <cell r="AU95"/>
          <cell r="AV95"/>
          <cell r="AW95"/>
          <cell r="AX95"/>
          <cell r="AY95"/>
          <cell r="AZ95"/>
          <cell r="BA95"/>
          <cell r="BB95"/>
          <cell r="BC95"/>
          <cell r="BD95"/>
          <cell r="BE95"/>
          <cell r="BF95"/>
          <cell r="BG95"/>
          <cell r="BH95"/>
          <cell r="BI95"/>
          <cell r="BJ95"/>
          <cell r="BK95"/>
          <cell r="BL95"/>
          <cell r="BM95"/>
          <cell r="BN95"/>
          <cell r="BO95"/>
          <cell r="BP95"/>
          <cell r="BQ95"/>
          <cell r="BR95"/>
          <cell r="BS95"/>
          <cell r="BT95"/>
          <cell r="BU95"/>
          <cell r="BV95"/>
          <cell r="BW95"/>
          <cell r="BX95"/>
          <cell r="BY95"/>
          <cell r="BZ95"/>
          <cell r="CA95"/>
          <cell r="CB95"/>
          <cell r="CC95"/>
          <cell r="CD95"/>
        </row>
        <row r="96">
          <cell r="C96" t="str">
            <v>Hiroshima</v>
          </cell>
          <cell r="E96">
            <v>1.9375</v>
          </cell>
          <cell r="F96">
            <v>15.696428571428571</v>
          </cell>
          <cell r="G96">
            <v>12.732142857142858</v>
          </cell>
          <cell r="H96">
            <v>30.366071428571427</v>
          </cell>
          <cell r="I96">
            <v>2.3102678571428568</v>
          </cell>
          <cell r="J96">
            <v>18.482142857142854</v>
          </cell>
          <cell r="K96"/>
          <cell r="L96"/>
          <cell r="M96" t="str">
            <v>Hiroshima</v>
          </cell>
          <cell r="O96" t="e">
            <v>#N/A</v>
          </cell>
          <cell r="P96" t="e">
            <v>#N/A</v>
          </cell>
          <cell r="Q96" t="e">
            <v>#N/A</v>
          </cell>
          <cell r="R96" t="e">
            <v>#N/A</v>
          </cell>
          <cell r="S96" t="e">
            <v>#N/A</v>
          </cell>
          <cell r="T96" t="e">
            <v>#N/A</v>
          </cell>
          <cell r="V96"/>
          <cell r="W96" t="str">
            <v>Hiroshima</v>
          </cell>
          <cell r="Y96">
            <v>1.7980769230769231</v>
          </cell>
          <cell r="Z96">
            <v>14.548076923076923</v>
          </cell>
          <cell r="AA96">
            <v>13.10576923076923</v>
          </cell>
          <cell r="AB96">
            <v>29.451923076923077</v>
          </cell>
          <cell r="AC96">
            <v>2.6205357142857149</v>
          </cell>
          <cell r="AD96">
            <v>20.964285714285719</v>
          </cell>
          <cell r="AE96"/>
          <cell r="AF96"/>
          <cell r="AG96" t="str">
            <v>Hiroshima</v>
          </cell>
          <cell r="AI96">
            <v>1.5566037735849056</v>
          </cell>
          <cell r="AJ96">
            <v>12.358490566037736</v>
          </cell>
          <cell r="AK96">
            <v>11.250980392156862</v>
          </cell>
          <cell r="AL96">
            <v>24.741509433962264</v>
          </cell>
          <cell r="AM96">
            <v>2.5957589285714286</v>
          </cell>
          <cell r="AN96">
            <v>20.766071428571429</v>
          </cell>
          <cell r="AO96"/>
          <cell r="AP96"/>
          <cell r="AQ96" t="str">
            <v>Hiroshima</v>
          </cell>
          <cell r="AS96">
            <v>1.5</v>
          </cell>
          <cell r="AT96">
            <v>10.55</v>
          </cell>
          <cell r="AU96">
            <v>10.218085106382979</v>
          </cell>
          <cell r="AV96">
            <v>22.26808510638298</v>
          </cell>
          <cell r="AW96">
            <v>2.468526785714285</v>
          </cell>
          <cell r="AX96">
            <v>19.74821428571428</v>
          </cell>
          <cell r="AY96"/>
          <cell r="AZ96"/>
          <cell r="BA96" t="str">
            <v>Hiroshima</v>
          </cell>
          <cell r="BC96" t="e">
            <v>#N/A</v>
          </cell>
          <cell r="BD96" t="e">
            <v>#N/A</v>
          </cell>
          <cell r="BE96" t="e">
            <v>#N/A</v>
          </cell>
          <cell r="BF96" t="e">
            <v>#N/A</v>
          </cell>
          <cell r="BG96" t="e">
            <v>#N/A</v>
          </cell>
          <cell r="BH96" t="e">
            <v>#N/A</v>
          </cell>
          <cell r="BK96" t="str">
            <v>Hiroshima</v>
          </cell>
          <cell r="BM96" t="e">
            <v>#N/A</v>
          </cell>
          <cell r="BN96" t="e">
            <v>#N/A</v>
          </cell>
          <cell r="BO96" t="e">
            <v>#N/A</v>
          </cell>
          <cell r="BP96" t="e">
            <v>#N/A</v>
          </cell>
          <cell r="BQ96" t="e">
            <v>#N/A</v>
          </cell>
          <cell r="BR96" t="e">
            <v>#N/A</v>
          </cell>
          <cell r="BS96"/>
          <cell r="BT96"/>
          <cell r="BU96" t="str">
            <v>Hiroshima</v>
          </cell>
          <cell r="BW96" t="e">
            <v>#N/A</v>
          </cell>
          <cell r="BX96" t="e">
            <v>#N/A</v>
          </cell>
          <cell r="BY96" t="e">
            <v>#N/A</v>
          </cell>
          <cell r="BZ96" t="e">
            <v>#N/A</v>
          </cell>
          <cell r="CA96" t="e">
            <v>#N/A</v>
          </cell>
          <cell r="CB96" t="e">
            <v>#N/A</v>
          </cell>
          <cell r="CC96"/>
          <cell r="CD96"/>
        </row>
        <row r="97">
          <cell r="C97" t="str">
            <v>Count of data</v>
          </cell>
          <cell r="E97">
            <v>56</v>
          </cell>
          <cell r="F97">
            <v>56</v>
          </cell>
          <cell r="G97">
            <v>56</v>
          </cell>
          <cell r="H97">
            <v>56</v>
          </cell>
          <cell r="M97" t="str">
            <v>Count of data</v>
          </cell>
          <cell r="O97">
            <v>53</v>
          </cell>
          <cell r="P97">
            <v>53</v>
          </cell>
          <cell r="Q97">
            <v>51</v>
          </cell>
          <cell r="R97">
            <v>53</v>
          </cell>
          <cell r="U97"/>
          <cell r="W97" t="str">
            <v>Count of data</v>
          </cell>
          <cell r="Y97">
            <v>52</v>
          </cell>
          <cell r="Z97">
            <v>52</v>
          </cell>
          <cell r="AA97">
            <v>52</v>
          </cell>
          <cell r="AB97">
            <v>52</v>
          </cell>
          <cell r="AG97" t="str">
            <v>Count of data</v>
          </cell>
          <cell r="AI97">
            <v>53</v>
          </cell>
          <cell r="AJ97">
            <v>53</v>
          </cell>
          <cell r="AK97">
            <v>51</v>
          </cell>
          <cell r="AL97">
            <v>53</v>
          </cell>
          <cell r="AQ97" t="str">
            <v>Count of data</v>
          </cell>
          <cell r="AS97">
            <v>50</v>
          </cell>
          <cell r="AT97">
            <v>50</v>
          </cell>
          <cell r="AU97">
            <v>47</v>
          </cell>
          <cell r="AV97">
            <v>147</v>
          </cell>
          <cell r="BA97" t="str">
            <v>Count of data</v>
          </cell>
          <cell r="BC97">
            <v>35</v>
          </cell>
          <cell r="BD97">
            <v>35</v>
          </cell>
          <cell r="BE97">
            <v>35</v>
          </cell>
          <cell r="BF97">
            <v>36</v>
          </cell>
          <cell r="BK97" t="str">
            <v>Count of data</v>
          </cell>
          <cell r="BM97">
            <v>22</v>
          </cell>
          <cell r="BN97">
            <v>21</v>
          </cell>
          <cell r="BO97">
            <v>20</v>
          </cell>
          <cell r="BP97">
            <v>22</v>
          </cell>
          <cell r="BU97" t="str">
            <v>Count of data</v>
          </cell>
          <cell r="BW97">
            <v>19</v>
          </cell>
          <cell r="BX97">
            <v>19</v>
          </cell>
          <cell r="BY97">
            <v>18</v>
          </cell>
          <cell r="BZ97">
            <v>19</v>
          </cell>
        </row>
        <row r="98">
          <cell r="C98" t="str">
            <v>Total Data</v>
          </cell>
          <cell r="D98">
            <v>56</v>
          </cell>
          <cell r="M98" t="str">
            <v>Total Data</v>
          </cell>
          <cell r="N98">
            <v>54</v>
          </cell>
          <cell r="U98"/>
          <cell r="W98" t="str">
            <v>Total Data</v>
          </cell>
          <cell r="X98">
            <v>56</v>
          </cell>
          <cell r="AG98" t="str">
            <v>Total Data</v>
          </cell>
          <cell r="AH98">
            <v>56</v>
          </cell>
          <cell r="AQ98" t="str">
            <v>Total Data</v>
          </cell>
          <cell r="AR98">
            <v>56</v>
          </cell>
          <cell r="BA98" t="str">
            <v>Total Data</v>
          </cell>
          <cell r="BB98">
            <v>49</v>
          </cell>
          <cell r="BK98" t="str">
            <v>Total Data</v>
          </cell>
          <cell r="BL98">
            <v>37</v>
          </cell>
          <cell r="BU98" t="str">
            <v>Total Data</v>
          </cell>
          <cell r="BV98">
            <v>25</v>
          </cell>
        </row>
        <row r="99">
          <cell r="E99"/>
          <cell r="F99"/>
          <cell r="G99"/>
          <cell r="H99"/>
          <cell r="I99"/>
          <cell r="J99"/>
          <cell r="K99"/>
          <cell r="L99"/>
          <cell r="O99"/>
          <cell r="P99"/>
          <cell r="Q99"/>
          <cell r="R99"/>
          <cell r="S99"/>
          <cell r="T99"/>
          <cell r="V99"/>
          <cell r="Y99"/>
          <cell r="Z99"/>
          <cell r="AA99"/>
          <cell r="AB99"/>
          <cell r="AC99"/>
          <cell r="AD99"/>
          <cell r="AE99"/>
          <cell r="AF99"/>
          <cell r="AH99"/>
          <cell r="AI99"/>
          <cell r="AJ99"/>
          <cell r="AK99"/>
          <cell r="AL99"/>
          <cell r="AM99"/>
          <cell r="AN99"/>
          <cell r="AO99"/>
          <cell r="AP99"/>
          <cell r="AS99"/>
          <cell r="AT99"/>
          <cell r="AU99"/>
          <cell r="AV99"/>
          <cell r="AW99"/>
          <cell r="AX99"/>
          <cell r="AY99"/>
          <cell r="AZ99"/>
          <cell r="BC99"/>
          <cell r="BD99"/>
          <cell r="BE99"/>
          <cell r="BF99"/>
          <cell r="BG99"/>
          <cell r="BH99"/>
          <cell r="BM99"/>
          <cell r="BN99"/>
          <cell r="BO99"/>
          <cell r="BP99"/>
          <cell r="BQ99"/>
          <cell r="BR99"/>
          <cell r="BS99"/>
          <cell r="BT99"/>
          <cell r="BW99"/>
          <cell r="BX99"/>
          <cell r="BY99"/>
          <cell r="BZ99"/>
          <cell r="CA99"/>
          <cell r="CB99"/>
          <cell r="CC99"/>
          <cell r="CD99"/>
        </row>
        <row r="100">
          <cell r="C100" t="str">
            <v>Kumamoto</v>
          </cell>
          <cell r="E100">
            <v>1.5441176470588236</v>
          </cell>
          <cell r="F100">
            <v>11.744117647058824</v>
          </cell>
          <cell r="G100">
            <v>8.9032258064516121</v>
          </cell>
          <cell r="H100">
            <v>21.405882352941177</v>
          </cell>
          <cell r="I100">
            <v>1.533088235294118</v>
          </cell>
          <cell r="J100">
            <v>12.264705882352944</v>
          </cell>
          <cell r="K100"/>
          <cell r="L100"/>
          <cell r="M100" t="str">
            <v>Kumamoto</v>
          </cell>
          <cell r="O100">
            <v>1.3142857142857143</v>
          </cell>
          <cell r="P100">
            <v>19.5</v>
          </cell>
          <cell r="Q100">
            <v>14.106060606060606</v>
          </cell>
          <cell r="R100">
            <v>34.114285714285714</v>
          </cell>
          <cell r="S100">
            <v>3.3392857142857144</v>
          </cell>
          <cell r="T100">
            <v>26.714285714285715</v>
          </cell>
          <cell r="V100"/>
          <cell r="W100" t="str">
            <v>Kumamoto</v>
          </cell>
          <cell r="Y100">
            <v>1.2580645161290323</v>
          </cell>
          <cell r="Z100">
            <v>12.14516129032258</v>
          </cell>
          <cell r="AA100">
            <v>8.4137931034482758</v>
          </cell>
          <cell r="AB100">
            <v>21.274193548387096</v>
          </cell>
          <cell r="AC100">
            <v>2.5583333333333336</v>
          </cell>
          <cell r="AD100">
            <v>20.466666666666669</v>
          </cell>
          <cell r="AE100"/>
          <cell r="AF100"/>
          <cell r="AG100" t="str">
            <v>Kumamoto</v>
          </cell>
          <cell r="AI100">
            <v>1.7413793103448276</v>
          </cell>
          <cell r="AJ100">
            <v>10.379310344827585</v>
          </cell>
          <cell r="AK100">
            <v>8.9655172413793096</v>
          </cell>
          <cell r="AL100">
            <v>21.086206896551722</v>
          </cell>
          <cell r="AM100">
            <v>1.8405303030303031</v>
          </cell>
          <cell r="AN100">
            <v>14.724242424242425</v>
          </cell>
          <cell r="AO100"/>
          <cell r="AP100"/>
          <cell r="AQ100" t="str">
            <v>Kumamoto</v>
          </cell>
          <cell r="AS100">
            <v>1.6333333333333333</v>
          </cell>
          <cell r="AT100">
            <v>9.8333333333333339</v>
          </cell>
          <cell r="AU100">
            <v>8.931034482758621</v>
          </cell>
          <cell r="AV100">
            <v>20.100000000000001</v>
          </cell>
          <cell r="AW100">
            <v>2.0937500000000004</v>
          </cell>
          <cell r="AX100">
            <v>16.750000000000004</v>
          </cell>
          <cell r="AY100"/>
          <cell r="AZ100"/>
          <cell r="BA100" t="str">
            <v>Kumamoto</v>
          </cell>
          <cell r="BC100">
            <v>0.94736842105263153</v>
          </cell>
          <cell r="BD100">
            <v>8.4210526315789469</v>
          </cell>
          <cell r="BE100">
            <v>7.2058823529411766</v>
          </cell>
          <cell r="BF100">
            <v>15.815789473684211</v>
          </cell>
          <cell r="BG100">
            <v>1.9559523809523807</v>
          </cell>
          <cell r="BH100">
            <v>15.647619047619045</v>
          </cell>
          <cell r="BK100" t="str">
            <v>Kumamoto</v>
          </cell>
          <cell r="BM100">
            <v>1.53125</v>
          </cell>
          <cell r="BN100">
            <v>10.84375</v>
          </cell>
          <cell r="BO100">
            <v>11.34375</v>
          </cell>
          <cell r="BP100">
            <v>23.71875</v>
          </cell>
          <cell r="BQ100">
            <v>2.4615624999999999</v>
          </cell>
          <cell r="BR100">
            <v>19.692499999999999</v>
          </cell>
          <cell r="BS100"/>
          <cell r="BT100"/>
          <cell r="BU100" t="str">
            <v>Kumamoto</v>
          </cell>
          <cell r="BW100">
            <v>1.125</v>
          </cell>
          <cell r="BX100">
            <v>10.25</v>
          </cell>
          <cell r="BY100">
            <v>6.7222222222222223</v>
          </cell>
          <cell r="BZ100">
            <v>16.416666666666668</v>
          </cell>
          <cell r="CA100">
            <v>2.9323529411764708</v>
          </cell>
          <cell r="CB100">
            <v>23.458823529411767</v>
          </cell>
          <cell r="CC100"/>
          <cell r="CD100"/>
        </row>
        <row r="101">
          <cell r="C101" t="str">
            <v>Count of data</v>
          </cell>
          <cell r="E101">
            <v>34</v>
          </cell>
          <cell r="F101">
            <v>34</v>
          </cell>
          <cell r="G101">
            <v>31</v>
          </cell>
          <cell r="H101">
            <v>34</v>
          </cell>
          <cell r="M101" t="str">
            <v>Count of data</v>
          </cell>
          <cell r="O101">
            <v>35</v>
          </cell>
          <cell r="P101">
            <v>35</v>
          </cell>
          <cell r="Q101">
            <v>33</v>
          </cell>
          <cell r="R101">
            <v>35</v>
          </cell>
          <cell r="W101" t="str">
            <v>Count of data</v>
          </cell>
          <cell r="Y101">
            <v>31</v>
          </cell>
          <cell r="Z101">
            <v>31</v>
          </cell>
          <cell r="AA101">
            <v>29</v>
          </cell>
          <cell r="AB101">
            <v>31</v>
          </cell>
          <cell r="AG101" t="str">
            <v>Count of data</v>
          </cell>
          <cell r="AI101">
            <v>29</v>
          </cell>
          <cell r="AJ101">
            <v>29</v>
          </cell>
          <cell r="AK101">
            <v>29</v>
          </cell>
          <cell r="AL101">
            <v>29</v>
          </cell>
          <cell r="AQ101" t="str">
            <v>Count of data</v>
          </cell>
          <cell r="AS101">
            <v>30</v>
          </cell>
          <cell r="AT101">
            <v>30</v>
          </cell>
          <cell r="AU101">
            <v>29</v>
          </cell>
          <cell r="AV101">
            <v>30</v>
          </cell>
          <cell r="BA101" t="str">
            <v>Count of data</v>
          </cell>
          <cell r="BC101">
            <v>19</v>
          </cell>
          <cell r="BD101">
            <v>19</v>
          </cell>
          <cell r="BE101">
            <v>17</v>
          </cell>
          <cell r="BF101">
            <v>19</v>
          </cell>
          <cell r="BK101" t="str">
            <v>Count of data</v>
          </cell>
          <cell r="BM101">
            <v>16</v>
          </cell>
          <cell r="BN101">
            <v>16</v>
          </cell>
          <cell r="BO101">
            <v>16</v>
          </cell>
          <cell r="BP101">
            <v>16</v>
          </cell>
          <cell r="BU101" t="str">
            <v>Count of data</v>
          </cell>
          <cell r="BW101">
            <v>12</v>
          </cell>
          <cell r="BX101">
            <v>12</v>
          </cell>
          <cell r="BY101">
            <v>9</v>
          </cell>
          <cell r="BZ101">
            <v>12</v>
          </cell>
        </row>
        <row r="102">
          <cell r="C102" t="str">
            <v>Total Data</v>
          </cell>
          <cell r="D102">
            <v>34</v>
          </cell>
          <cell r="M102" t="str">
            <v>Total Data</v>
          </cell>
          <cell r="N102">
            <v>35</v>
          </cell>
          <cell r="U102"/>
          <cell r="W102" t="str">
            <v>Total Data</v>
          </cell>
          <cell r="X102">
            <v>35</v>
          </cell>
          <cell r="AG102" t="str">
            <v>Total Data</v>
          </cell>
          <cell r="AH102">
            <v>34</v>
          </cell>
          <cell r="AQ102" t="str">
            <v>Total Data</v>
          </cell>
          <cell r="AR102">
            <v>32</v>
          </cell>
          <cell r="BA102" t="str">
            <v>Total Data</v>
          </cell>
          <cell r="BB102">
            <v>23</v>
          </cell>
          <cell r="BK102" t="str">
            <v>Total Data</v>
          </cell>
          <cell r="BL102">
            <v>20</v>
          </cell>
          <cell r="BU102" t="str">
            <v>Total Data</v>
          </cell>
          <cell r="BV102">
            <v>17</v>
          </cell>
        </row>
        <row r="104">
          <cell r="C104" t="str">
            <v>Combined</v>
          </cell>
          <cell r="H104">
            <v>26.981111111111112</v>
          </cell>
          <cell r="I104">
            <v>2.0166666666666662</v>
          </cell>
          <cell r="J104">
            <v>16.133333333333329</v>
          </cell>
          <cell r="K104"/>
          <cell r="L104"/>
          <cell r="M104" t="str">
            <v>Combined</v>
          </cell>
          <cell r="R104" t="e">
            <v>#N/A</v>
          </cell>
          <cell r="S104" t="e">
            <v>#N/A</v>
          </cell>
          <cell r="T104" t="e">
            <v>#N/A</v>
          </cell>
          <cell r="V104"/>
          <cell r="W104" t="str">
            <v>Combined</v>
          </cell>
          <cell r="AB104">
            <v>26.397590361445783</v>
          </cell>
          <cell r="AC104">
            <v>2.5974719101123602</v>
          </cell>
          <cell r="AD104">
            <v>20.779775280898882</v>
          </cell>
          <cell r="AE104"/>
          <cell r="AF104"/>
          <cell r="AG104" t="str">
            <v>Combined</v>
          </cell>
          <cell r="AL104">
            <v>23.448780487804878</v>
          </cell>
          <cell r="AM104">
            <v>2.3157303370786519</v>
          </cell>
          <cell r="AN104">
            <v>18.525842696629216</v>
          </cell>
          <cell r="AO104"/>
          <cell r="AP104"/>
          <cell r="AQ104" t="str">
            <v>Combined</v>
          </cell>
          <cell r="AV104">
            <v>21.071874999999999</v>
          </cell>
          <cell r="AW104">
            <v>2.334985632183908</v>
          </cell>
          <cell r="AX104">
            <v>18.679885057471264</v>
          </cell>
          <cell r="AY104"/>
          <cell r="AZ104"/>
          <cell r="BA104" t="str">
            <v>Combined</v>
          </cell>
          <cell r="BF104" t="e">
            <v>#N/A</v>
          </cell>
          <cell r="BG104" t="e">
            <v>#N/A</v>
          </cell>
          <cell r="BH104" t="e">
            <v>#N/A</v>
          </cell>
          <cell r="BK104" t="str">
            <v>Combined</v>
          </cell>
          <cell r="BP104" t="e">
            <v>#N/A</v>
          </cell>
          <cell r="BQ104" t="e">
            <v>#N/A</v>
          </cell>
          <cell r="BR104" t="e">
            <v>#N/A</v>
          </cell>
          <cell r="BS104"/>
          <cell r="BT104"/>
          <cell r="BU104" t="str">
            <v>Combined</v>
          </cell>
          <cell r="BZ104" t="e">
            <v>#N/A</v>
          </cell>
          <cell r="CA104" t="e">
            <v>#N/A</v>
          </cell>
          <cell r="CB104" t="e">
            <v>#N/A</v>
          </cell>
          <cell r="CC104"/>
          <cell r="CD104"/>
        </row>
        <row r="105">
          <cell r="C105" t="str">
            <v>Count of data</v>
          </cell>
          <cell r="H105">
            <v>90</v>
          </cell>
          <cell r="M105" t="str">
            <v>Count of data</v>
          </cell>
          <cell r="R105">
            <v>88</v>
          </cell>
          <cell r="W105" t="str">
            <v>Count of data</v>
          </cell>
          <cell r="AB105">
            <v>83</v>
          </cell>
          <cell r="AG105" t="str">
            <v>Count of data</v>
          </cell>
          <cell r="AL105">
            <v>82</v>
          </cell>
          <cell r="AQ105" t="str">
            <v>Count of data</v>
          </cell>
          <cell r="AV105">
            <v>80</v>
          </cell>
          <cell r="BA105" t="str">
            <v>Count of data</v>
          </cell>
          <cell r="BF105">
            <v>55</v>
          </cell>
          <cell r="BK105" t="str">
            <v>Count of data</v>
          </cell>
          <cell r="BP105">
            <v>38</v>
          </cell>
          <cell r="BU105" t="str">
            <v>Count of data</v>
          </cell>
          <cell r="BZ105">
            <v>31</v>
          </cell>
        </row>
        <row r="106">
          <cell r="C106" t="str">
            <v>total</v>
          </cell>
          <cell r="D106">
            <v>91</v>
          </cell>
          <cell r="M106" t="str">
            <v>total</v>
          </cell>
          <cell r="N106">
            <v>90</v>
          </cell>
          <cell r="W106" t="str">
            <v>total</v>
          </cell>
          <cell r="X106">
            <v>92</v>
          </cell>
          <cell r="AG106" t="str">
            <v>total</v>
          </cell>
          <cell r="AH106">
            <v>91</v>
          </cell>
          <cell r="AQ106" t="str">
            <v>total</v>
          </cell>
          <cell r="AR106">
            <v>89</v>
          </cell>
          <cell r="BA106" t="str">
            <v>total</v>
          </cell>
          <cell r="BB106">
            <v>73</v>
          </cell>
          <cell r="BK106" t="str">
            <v>total</v>
          </cell>
          <cell r="BL106">
            <v>58</v>
          </cell>
          <cell r="BU106" t="str">
            <v>total</v>
          </cell>
          <cell r="BV106">
            <v>43</v>
          </cell>
        </row>
        <row r="108">
          <cell r="X108" t="str">
            <v>PTS</v>
          </cell>
          <cell r="Y108" t="str">
            <v>PG</v>
          </cell>
          <cell r="Z108" t="str">
            <v>PTE</v>
          </cell>
        </row>
        <row r="109">
          <cell r="C109" t="str">
            <v>Hiroshima</v>
          </cell>
          <cell r="D109"/>
          <cell r="E109"/>
          <cell r="F109"/>
          <cell r="G109"/>
          <cell r="H109"/>
          <cell r="M109" t="str">
            <v>Kumamoto</v>
          </cell>
          <cell r="N109"/>
          <cell r="O109"/>
          <cell r="P109"/>
          <cell r="Q109"/>
          <cell r="R109"/>
          <cell r="W109" t="str">
            <v>Task 1</v>
          </cell>
          <cell r="X109">
            <v>1.9375</v>
          </cell>
          <cell r="Y109">
            <v>15.696428571428571</v>
          </cell>
          <cell r="Z109">
            <v>30.366071428571427</v>
          </cell>
          <cell r="AC109"/>
          <cell r="AD109"/>
          <cell r="AG109"/>
          <cell r="BC109">
            <v>0</v>
          </cell>
        </row>
        <row r="110">
          <cell r="C110" t="str">
            <v>Task</v>
          </cell>
          <cell r="D110" t="str">
            <v>Planned</v>
          </cell>
          <cell r="E110" t="str">
            <v>Actual</v>
          </cell>
          <cell r="F110" t="str">
            <v>% of Plan</v>
          </cell>
          <cell r="G110" t="str">
            <v>No. of Data</v>
          </cell>
          <cell r="H110" t="str">
            <v>Total No. Data</v>
          </cell>
          <cell r="M110" t="str">
            <v>Task</v>
          </cell>
          <cell r="N110" t="str">
            <v>Planned</v>
          </cell>
          <cell r="O110" t="str">
            <v>Actual</v>
          </cell>
          <cell r="P110" t="str">
            <v>% of Plan</v>
          </cell>
          <cell r="Q110" t="str">
            <v>No. of Data</v>
          </cell>
          <cell r="R110" t="str">
            <v>Total No. Data</v>
          </cell>
          <cell r="W110" t="str">
            <v>Task 2</v>
          </cell>
          <cell r="X110" t="e">
            <v>#N/A</v>
          </cell>
          <cell r="Y110" t="e">
            <v>#N/A</v>
          </cell>
          <cell r="Z110" t="e">
            <v>#N/A</v>
          </cell>
          <cell r="AC110"/>
          <cell r="AD110"/>
          <cell r="AG110"/>
        </row>
        <row r="111">
          <cell r="C111" t="str">
            <v>Task 1</v>
          </cell>
          <cell r="D111">
            <v>18.482142857142854</v>
          </cell>
          <cell r="E111">
            <v>30.366071428571427</v>
          </cell>
          <cell r="F111">
            <v>0.60864451631872973</v>
          </cell>
          <cell r="G111">
            <v>56</v>
          </cell>
          <cell r="H111">
            <v>56</v>
          </cell>
          <cell r="M111" t="str">
            <v>Task 1</v>
          </cell>
          <cell r="N111">
            <v>26.714285714285715</v>
          </cell>
          <cell r="O111">
            <v>34.114285714285714</v>
          </cell>
          <cell r="P111">
            <v>0.78308207705192634</v>
          </cell>
          <cell r="Q111">
            <v>34</v>
          </cell>
          <cell r="R111">
            <v>34</v>
          </cell>
          <cell r="W111" t="str">
            <v>Task 3</v>
          </cell>
          <cell r="X111">
            <v>1.7980769230769231</v>
          </cell>
          <cell r="Y111">
            <v>14.548076923076923</v>
          </cell>
          <cell r="Z111">
            <v>13.10576923076923</v>
          </cell>
          <cell r="AC111"/>
          <cell r="AD111"/>
          <cell r="AG111"/>
        </row>
        <row r="112">
          <cell r="C112" t="str">
            <v>Task 2</v>
          </cell>
          <cell r="D112" t="e">
            <v>#N/A</v>
          </cell>
          <cell r="E112" t="e">
            <v>#N/A</v>
          </cell>
          <cell r="F112" t="e">
            <v>#N/A</v>
          </cell>
          <cell r="G112">
            <v>53</v>
          </cell>
          <cell r="H112">
            <v>54</v>
          </cell>
          <cell r="M112" t="str">
            <v>Task 2</v>
          </cell>
          <cell r="N112">
            <v>20.466666666666669</v>
          </cell>
          <cell r="O112">
            <v>21.274193548387096</v>
          </cell>
          <cell r="P112">
            <v>0.96204195097295941</v>
          </cell>
          <cell r="Q112">
            <v>35</v>
          </cell>
          <cell r="R112">
            <v>35</v>
          </cell>
          <cell r="W112" t="str">
            <v>Task 4</v>
          </cell>
          <cell r="X112">
            <v>1.5566037735849056</v>
          </cell>
          <cell r="Y112">
            <v>12.358490566037736</v>
          </cell>
          <cell r="Z112">
            <v>11.250980392156862</v>
          </cell>
          <cell r="AC112"/>
          <cell r="AD112"/>
          <cell r="AG112"/>
        </row>
        <row r="113">
          <cell r="C113" t="str">
            <v>Task 3</v>
          </cell>
          <cell r="D113">
            <v>20.964285714285719</v>
          </cell>
          <cell r="E113">
            <v>29.451923076923077</v>
          </cell>
          <cell r="F113">
            <v>0.71181381465416738</v>
          </cell>
          <cell r="G113">
            <v>52</v>
          </cell>
          <cell r="H113">
            <v>56</v>
          </cell>
          <cell r="M113" t="str">
            <v>Task 3</v>
          </cell>
          <cell r="N113">
            <v>14.724242424242425</v>
          </cell>
          <cell r="O113">
            <v>21.086206896551722</v>
          </cell>
          <cell r="P113">
            <v>0.69828786639906848</v>
          </cell>
          <cell r="Q113">
            <v>31</v>
          </cell>
          <cell r="R113">
            <v>35</v>
          </cell>
          <cell r="W113" t="str">
            <v>Task 5</v>
          </cell>
          <cell r="X113">
            <v>1.5</v>
          </cell>
          <cell r="Y113">
            <v>10.55</v>
          </cell>
          <cell r="Z113">
            <v>10.218085106382979</v>
          </cell>
          <cell r="AC113"/>
          <cell r="AD113"/>
          <cell r="AG113"/>
        </row>
        <row r="114">
          <cell r="C114" t="str">
            <v>Task 4</v>
          </cell>
          <cell r="D114">
            <v>20.766071428571429</v>
          </cell>
          <cell r="E114">
            <v>24.741509433962264</v>
          </cell>
          <cell r="F114">
            <v>0.83932112080705079</v>
          </cell>
          <cell r="G114">
            <v>53</v>
          </cell>
          <cell r="H114">
            <v>56</v>
          </cell>
          <cell r="M114" t="str">
            <v>Task 4</v>
          </cell>
          <cell r="N114">
            <v>16.750000000000004</v>
          </cell>
          <cell r="O114">
            <v>20.100000000000001</v>
          </cell>
          <cell r="P114">
            <v>0.83333333333333348</v>
          </cell>
          <cell r="Q114">
            <v>29</v>
          </cell>
          <cell r="R114">
            <v>34</v>
          </cell>
          <cell r="W114" t="str">
            <v>Task 6</v>
          </cell>
          <cell r="X114" t="e">
            <v>#N/A</v>
          </cell>
          <cell r="Y114" t="e">
            <v>#N/A</v>
          </cell>
          <cell r="Z114" t="e">
            <v>#N/A</v>
          </cell>
          <cell r="AC114"/>
          <cell r="AD114"/>
          <cell r="AG114"/>
        </row>
        <row r="115">
          <cell r="C115" t="str">
            <v>Task 5</v>
          </cell>
          <cell r="D115">
            <v>19.74821428571428</v>
          </cell>
          <cell r="E115">
            <v>22.26808510638298</v>
          </cell>
          <cell r="F115">
            <v>0.88683935737490072</v>
          </cell>
          <cell r="G115">
            <v>147</v>
          </cell>
          <cell r="H115">
            <v>56</v>
          </cell>
          <cell r="M115" t="str">
            <v>Task 5</v>
          </cell>
          <cell r="N115">
            <v>15.647619047619045</v>
          </cell>
          <cell r="O115">
            <v>15.815789473684211</v>
          </cell>
          <cell r="P115">
            <v>0.98936692813564675</v>
          </cell>
          <cell r="Q115">
            <v>30</v>
          </cell>
          <cell r="R115">
            <v>32</v>
          </cell>
          <cell r="W115" t="str">
            <v>Task 7</v>
          </cell>
          <cell r="X115" t="e">
            <v>#N/A</v>
          </cell>
          <cell r="Y115" t="e">
            <v>#N/A</v>
          </cell>
          <cell r="Z115" t="e">
            <v>#N/A</v>
          </cell>
          <cell r="AC115"/>
          <cell r="AD115"/>
          <cell r="AG115"/>
        </row>
        <row r="116">
          <cell r="C116" t="str">
            <v>Task 6</v>
          </cell>
          <cell r="D116" t="e">
            <v>#N/A</v>
          </cell>
          <cell r="E116" t="e">
            <v>#N/A</v>
          </cell>
          <cell r="F116" t="e">
            <v>#N/A</v>
          </cell>
          <cell r="G116">
            <v>36</v>
          </cell>
          <cell r="H116">
            <v>49</v>
          </cell>
          <cell r="M116" t="str">
            <v>Task 6</v>
          </cell>
          <cell r="N116">
            <v>19.692499999999999</v>
          </cell>
          <cell r="O116">
            <v>23.71875</v>
          </cell>
          <cell r="P116">
            <v>0.83025032938076415</v>
          </cell>
          <cell r="Q116">
            <v>19</v>
          </cell>
          <cell r="R116">
            <v>23</v>
          </cell>
          <cell r="W116" t="str">
            <v>Task 8</v>
          </cell>
          <cell r="X116" t="e">
            <v>#N/A</v>
          </cell>
          <cell r="Y116" t="e">
            <v>#N/A</v>
          </cell>
          <cell r="Z116" t="e">
            <v>#N/A</v>
          </cell>
          <cell r="AC116"/>
          <cell r="AD116"/>
          <cell r="AG116"/>
        </row>
        <row r="117">
          <cell r="C117" t="str">
            <v>Task 7</v>
          </cell>
          <cell r="D117" t="e">
            <v>#N/A</v>
          </cell>
          <cell r="E117" t="e">
            <v>#N/A</v>
          </cell>
          <cell r="F117" t="e">
            <v>#N/A</v>
          </cell>
          <cell r="G117">
            <v>22</v>
          </cell>
          <cell r="H117">
            <v>37</v>
          </cell>
          <cell r="M117" t="str">
            <v>Task 7</v>
          </cell>
          <cell r="N117">
            <v>23.458823529411767</v>
          </cell>
          <cell r="O117">
            <v>16.416666666666668</v>
          </cell>
          <cell r="P117">
            <v>1.4289638698118841</v>
          </cell>
          <cell r="Q117">
            <v>16</v>
          </cell>
          <cell r="R117">
            <v>20</v>
          </cell>
          <cell r="W117" t="str">
            <v>Task 9</v>
          </cell>
          <cell r="X117" t="e">
            <v>#N/A</v>
          </cell>
          <cell r="Y117" t="e">
            <v>#N/A</v>
          </cell>
          <cell r="Z117" t="e">
            <v>#N/A</v>
          </cell>
          <cell r="AC117"/>
          <cell r="AD117"/>
          <cell r="AG117"/>
        </row>
        <row r="118">
          <cell r="C118" t="str">
            <v>Task 8</v>
          </cell>
          <cell r="D118" t="e">
            <v>#N/A</v>
          </cell>
          <cell r="E118" t="e">
            <v>#N/A</v>
          </cell>
          <cell r="F118" t="e">
            <v>#N/A</v>
          </cell>
          <cell r="G118">
            <v>19</v>
          </cell>
          <cell r="H118">
            <v>25</v>
          </cell>
          <cell r="M118" t="str">
            <v>Task 8</v>
          </cell>
          <cell r="N118">
            <v>0</v>
          </cell>
          <cell r="O118">
            <v>0</v>
          </cell>
          <cell r="P118">
            <v>0</v>
          </cell>
          <cell r="Q118">
            <v>12</v>
          </cell>
          <cell r="R118">
            <v>17</v>
          </cell>
        </row>
        <row r="119">
          <cell r="C119" t="str">
            <v>Task 9</v>
          </cell>
          <cell r="D119" t="e">
            <v>#N/A</v>
          </cell>
          <cell r="E119" t="e">
            <v>#N/A</v>
          </cell>
          <cell r="F119" t="e">
            <v>#N/A</v>
          </cell>
          <cell r="G119">
            <v>12</v>
          </cell>
          <cell r="H119">
            <v>16</v>
          </cell>
          <cell r="M119" t="str">
            <v>Task 9</v>
          </cell>
          <cell r="N119">
            <v>0</v>
          </cell>
          <cell r="O119">
            <v>0</v>
          </cell>
          <cell r="P119">
            <v>0</v>
          </cell>
          <cell r="Q119">
            <v>9</v>
          </cell>
          <cell r="R119">
            <v>12</v>
          </cell>
          <cell r="X119" t="str">
            <v>PTS</v>
          </cell>
          <cell r="Y119" t="str">
            <v>PG</v>
          </cell>
          <cell r="Z119" t="str">
            <v>PTE</v>
          </cell>
        </row>
        <row r="120">
          <cell r="W120" t="str">
            <v>Task 1</v>
          </cell>
          <cell r="X120">
            <v>1.5441176470588236</v>
          </cell>
          <cell r="Y120">
            <v>11.744117647058824</v>
          </cell>
          <cell r="Z120">
            <v>21.405882352941177</v>
          </cell>
        </row>
        <row r="121">
          <cell r="W121" t="str">
            <v>Task 2</v>
          </cell>
          <cell r="X121">
            <v>1.3142857142857143</v>
          </cell>
          <cell r="Y121">
            <v>19.5</v>
          </cell>
          <cell r="Z121">
            <v>14.106060606060606</v>
          </cell>
        </row>
        <row r="122">
          <cell r="W122" t="str">
            <v>Task 3</v>
          </cell>
          <cell r="X122">
            <v>1.2580645161290323</v>
          </cell>
          <cell r="Y122">
            <v>12.14516129032258</v>
          </cell>
          <cell r="Z122">
            <v>8.4137931034482758</v>
          </cell>
        </row>
        <row r="123">
          <cell r="C123" t="str">
            <v>IPK SS AERO</v>
          </cell>
          <cell r="D123"/>
          <cell r="E123"/>
          <cell r="F123"/>
          <cell r="G123"/>
          <cell r="H123"/>
          <cell r="W123" t="str">
            <v>Task 4</v>
          </cell>
          <cell r="X123">
            <v>1.7413793103448276</v>
          </cell>
          <cell r="Y123">
            <v>10.379310344827585</v>
          </cell>
          <cell r="Z123">
            <v>8.9655172413793096</v>
          </cell>
        </row>
        <row r="124">
          <cell r="C124" t="str">
            <v>Task</v>
          </cell>
          <cell r="D124" t="str">
            <v>Planned</v>
          </cell>
          <cell r="E124" t="str">
            <v>Actual</v>
          </cell>
          <cell r="F124" t="str">
            <v>% of Plan</v>
          </cell>
          <cell r="G124" t="str">
            <v>No. of Data</v>
          </cell>
          <cell r="H124" t="str">
            <v>Total No. Data</v>
          </cell>
          <cell r="W124" t="str">
            <v>Task 5</v>
          </cell>
          <cell r="X124">
            <v>1.6333333333333333</v>
          </cell>
          <cell r="Y124">
            <v>9.8333333333333339</v>
          </cell>
          <cell r="Z124">
            <v>8.931034482758621</v>
          </cell>
        </row>
        <row r="125">
          <cell r="C125" t="str">
            <v>Task 1</v>
          </cell>
          <cell r="D125">
            <v>16.133333333333329</v>
          </cell>
          <cell r="E125">
            <v>26.981111111111112</v>
          </cell>
          <cell r="F125">
            <v>0.59794918255569729</v>
          </cell>
          <cell r="G125">
            <v>90</v>
          </cell>
          <cell r="H125">
            <v>91</v>
          </cell>
          <cell r="W125" t="str">
            <v>Task 6</v>
          </cell>
          <cell r="X125">
            <v>0.94736842105263153</v>
          </cell>
          <cell r="Y125">
            <v>8.4210526315789469</v>
          </cell>
          <cell r="Z125">
            <v>15.815789473684211</v>
          </cell>
        </row>
        <row r="126">
          <cell r="C126" t="str">
            <v>Task 2</v>
          </cell>
          <cell r="D126" t="e">
            <v>#N/A</v>
          </cell>
          <cell r="E126" t="e">
            <v>#N/A</v>
          </cell>
          <cell r="F126" t="e">
            <v>#N/A</v>
          </cell>
          <cell r="G126">
            <v>88</v>
          </cell>
          <cell r="H126">
            <v>90</v>
          </cell>
          <cell r="W126" t="str">
            <v>Task 7</v>
          </cell>
          <cell r="X126">
            <v>1.53125</v>
          </cell>
          <cell r="Y126">
            <v>10.84375</v>
          </cell>
          <cell r="Z126">
            <v>23.71875</v>
          </cell>
        </row>
        <row r="127">
          <cell r="C127" t="str">
            <v>Task 3</v>
          </cell>
          <cell r="D127">
            <v>20.779775280898882</v>
          </cell>
          <cell r="E127">
            <v>26.397590361445783</v>
          </cell>
          <cell r="F127">
            <v>0.78718454966435747</v>
          </cell>
          <cell r="G127">
            <v>83</v>
          </cell>
          <cell r="H127">
            <v>92</v>
          </cell>
          <cell r="W127" t="str">
            <v>Task 8</v>
          </cell>
          <cell r="X127">
            <v>1.125</v>
          </cell>
          <cell r="Y127">
            <v>10.25</v>
          </cell>
          <cell r="Z127">
            <v>6.7222222222222223</v>
          </cell>
        </row>
        <row r="128">
          <cell r="C128" t="str">
            <v>Task 4</v>
          </cell>
          <cell r="D128">
            <v>18.525842696629216</v>
          </cell>
          <cell r="E128">
            <v>23.448780487804878</v>
          </cell>
          <cell r="F128">
            <v>0.79005570060515684</v>
          </cell>
          <cell r="G128">
            <v>82</v>
          </cell>
          <cell r="H128">
            <v>91</v>
          </cell>
          <cell r="W128" t="str">
            <v>Task 9</v>
          </cell>
          <cell r="X128" t="e">
            <v>#N/A</v>
          </cell>
          <cell r="Y128" t="e">
            <v>#N/A</v>
          </cell>
          <cell r="Z128" t="e">
            <v>#N/A</v>
          </cell>
        </row>
        <row r="129">
          <cell r="C129" t="str">
            <v>Task 5</v>
          </cell>
          <cell r="D129">
            <v>18.679885057471264</v>
          </cell>
          <cell r="E129">
            <v>21.071874999999999</v>
          </cell>
          <cell r="F129">
            <v>0.88648423823087719</v>
          </cell>
          <cell r="G129">
            <v>80</v>
          </cell>
          <cell r="H129">
            <v>89</v>
          </cell>
        </row>
        <row r="130">
          <cell r="C130" t="str">
            <v>Task 6</v>
          </cell>
          <cell r="D130" t="e">
            <v>#N/A</v>
          </cell>
          <cell r="E130" t="e">
            <v>#N/A</v>
          </cell>
          <cell r="F130" t="e">
            <v>#N/A</v>
          </cell>
          <cell r="G130">
            <v>55</v>
          </cell>
          <cell r="H130">
            <v>73</v>
          </cell>
        </row>
        <row r="131">
          <cell r="C131" t="str">
            <v>Task 7</v>
          </cell>
          <cell r="D131" t="e">
            <v>#N/A</v>
          </cell>
          <cell r="E131" t="e">
            <v>#N/A</v>
          </cell>
          <cell r="F131" t="e">
            <v>#N/A</v>
          </cell>
          <cell r="G131">
            <v>38</v>
          </cell>
          <cell r="H131">
            <v>58</v>
          </cell>
        </row>
        <row r="132">
          <cell r="C132" t="str">
            <v>Task 8</v>
          </cell>
          <cell r="D132" t="e">
            <v>#N/A</v>
          </cell>
          <cell r="E132" t="e">
            <v>#N/A</v>
          </cell>
          <cell r="F132" t="e">
            <v>#N/A</v>
          </cell>
          <cell r="G132">
            <v>31</v>
          </cell>
          <cell r="H132">
            <v>43</v>
          </cell>
        </row>
        <row r="133">
          <cell r="C133" t="str">
            <v>Task 9</v>
          </cell>
          <cell r="D133" t="e">
            <v>#N/A</v>
          </cell>
          <cell r="E133" t="e">
            <v>#N/A</v>
          </cell>
          <cell r="F133" t="e">
            <v>#N/A</v>
          </cell>
          <cell r="G133">
            <v>21</v>
          </cell>
          <cell r="H133">
            <v>29</v>
          </cell>
        </row>
      </sheetData>
      <sheetData sheetId="4"/>
      <sheetData sheetId="5"/>
      <sheetData sheetId="6"/>
      <sheetData sheetId="7"/>
      <sheetData sheetId="8"/>
      <sheetData sheetId="9"/>
      <sheetData sheetId="10"/>
      <sheetData sheetId="11"/>
      <sheetData sheetId="12"/>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er" id="{C10C2403-8E86-4B46-8411-E63C40A907A6}">
    <nsvFilter filterId="{7CFB2EBA-C860-4FB6-AEC0-BCAA1E2CC3EA}" ref="A3:BW100" tableId="0">
      <columnFilter colId="2">
        <filter colId="2">
          <x:filters>
            <x:filter val="B"/>
          </x:filters>
        </filter>
      </columnFilter>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er" id="{E62F7D3C-25C0-4B90-83C9-BF67BF1EA2AA}">
    <nsvFilter filterId="{7CFB2EBA-C860-4FB6-AEC0-BCAA1E2CC3EA}" ref="A3:BU100" tableId="0">
      <columnFilter colId="2">
        <filter colId="2">
          <x:filters>
            <x:filter val="A"/>
            <x:filter val="B"/>
            <x:filter val="C"/>
          </x:filters>
        </filter>
      </columnFilter>
    </nsvFilter>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microsoft.com/office/2019/04/relationships/namedSheetView" Target="../namedSheetViews/namedSheetView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11.bin"/><Relationship Id="rId4" Type="http://schemas.openxmlformats.org/officeDocument/2006/relationships/comments" Target="../comments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603A-739C-4C20-B2FC-B89F0C8C5AD3}">
  <dimension ref="B2:P29"/>
  <sheetViews>
    <sheetView showGridLines="0" workbookViewId="0">
      <selection activeCell="D30" sqref="D30"/>
    </sheetView>
  </sheetViews>
  <sheetFormatPr defaultColWidth="6" defaultRowHeight="13.5"/>
  <cols>
    <col min="1" max="1" width="6" style="69"/>
    <col min="2" max="2" width="3.42578125" style="69" customWidth="1"/>
    <col min="3" max="3" width="9.140625" style="69" customWidth="1"/>
    <col min="4" max="16" width="10.42578125" style="69" customWidth="1"/>
    <col min="17" max="16384" width="6" style="69"/>
  </cols>
  <sheetData>
    <row r="2" spans="2:16" ht="14.1" thickBot="1">
      <c r="B2" s="69" t="s">
        <v>0</v>
      </c>
    </row>
    <row r="3" spans="2:16" ht="54.6" thickBot="1">
      <c r="C3" s="67"/>
      <c r="D3" s="517" t="s">
        <v>1</v>
      </c>
      <c r="E3" s="518"/>
      <c r="F3" s="518"/>
      <c r="G3" s="518"/>
      <c r="H3" s="518"/>
      <c r="I3" s="518"/>
      <c r="J3" s="518"/>
      <c r="K3" s="519"/>
      <c r="L3" s="68" t="s">
        <v>2</v>
      </c>
      <c r="M3" s="520" t="s">
        <v>3</v>
      </c>
      <c r="N3" s="520"/>
      <c r="O3" s="520"/>
      <c r="P3" s="520"/>
    </row>
    <row r="4" spans="2:16" ht="18" customHeight="1" thickBot="1">
      <c r="C4" s="514" t="s">
        <v>4</v>
      </c>
      <c r="D4" s="521" t="s">
        <v>5</v>
      </c>
      <c r="E4" s="521"/>
      <c r="F4" s="521" t="s">
        <v>6</v>
      </c>
      <c r="G4" s="521"/>
      <c r="H4" s="521" t="s">
        <v>7</v>
      </c>
      <c r="I4" s="521"/>
      <c r="J4" s="521" t="s">
        <v>8</v>
      </c>
      <c r="K4" s="521"/>
      <c r="L4" s="514" t="s">
        <v>9</v>
      </c>
      <c r="M4" s="514" t="s">
        <v>10</v>
      </c>
      <c r="N4" s="514" t="s">
        <v>11</v>
      </c>
      <c r="O4" s="514" t="s">
        <v>12</v>
      </c>
      <c r="P4" s="514" t="s">
        <v>13</v>
      </c>
    </row>
    <row r="5" spans="2:16" ht="18" customHeight="1" thickBot="1">
      <c r="C5" s="515"/>
      <c r="D5" s="65" t="s">
        <v>14</v>
      </c>
      <c r="E5" s="65" t="s">
        <v>15</v>
      </c>
      <c r="F5" s="65" t="s">
        <v>14</v>
      </c>
      <c r="G5" s="65" t="s">
        <v>15</v>
      </c>
      <c r="H5" s="65" t="s">
        <v>14</v>
      </c>
      <c r="I5" s="65" t="s">
        <v>15</v>
      </c>
      <c r="J5" s="65" t="s">
        <v>14</v>
      </c>
      <c r="K5" s="65" t="s">
        <v>15</v>
      </c>
      <c r="L5" s="515"/>
      <c r="M5" s="515"/>
      <c r="N5" s="515"/>
      <c r="O5" s="515"/>
      <c r="P5" s="515"/>
    </row>
    <row r="6" spans="2:16" ht="27.6" customHeight="1" thickBot="1">
      <c r="C6" s="66" t="s">
        <v>16</v>
      </c>
      <c r="D6" s="516" t="s">
        <v>17</v>
      </c>
      <c r="E6" s="516"/>
      <c r="F6" s="516"/>
      <c r="G6" s="516"/>
      <c r="H6" s="516"/>
      <c r="I6" s="516"/>
      <c r="J6" s="516"/>
      <c r="K6" s="516"/>
      <c r="L6" s="66" t="s">
        <v>18</v>
      </c>
      <c r="M6" s="66" t="s">
        <v>18</v>
      </c>
      <c r="N6" s="66" t="s">
        <v>18</v>
      </c>
      <c r="O6" s="66" t="s">
        <v>18</v>
      </c>
      <c r="P6" s="66" t="s">
        <v>18</v>
      </c>
    </row>
    <row r="8" spans="2:16">
      <c r="C8" s="69" t="s">
        <v>19</v>
      </c>
    </row>
    <row r="9" spans="2:16">
      <c r="C9" s="69" t="s">
        <v>20</v>
      </c>
    </row>
    <row r="10" spans="2:16">
      <c r="D10" s="69" t="s">
        <v>21</v>
      </c>
      <c r="E10" s="69" t="s">
        <v>22</v>
      </c>
    </row>
    <row r="11" spans="2:16">
      <c r="D11" s="69" t="s">
        <v>23</v>
      </c>
      <c r="E11" s="69" t="s">
        <v>24</v>
      </c>
    </row>
    <row r="12" spans="2:16">
      <c r="D12" s="69" t="s">
        <v>25</v>
      </c>
      <c r="E12" s="69" t="s">
        <v>26</v>
      </c>
    </row>
    <row r="13" spans="2:16">
      <c r="D13" s="69" t="s">
        <v>27</v>
      </c>
      <c r="E13" s="69" t="s">
        <v>28</v>
      </c>
    </row>
    <row r="14" spans="2:16">
      <c r="C14" s="69" t="s">
        <v>29</v>
      </c>
    </row>
    <row r="15" spans="2:16">
      <c r="D15" s="69" t="s">
        <v>21</v>
      </c>
      <c r="E15" s="69" t="s">
        <v>30</v>
      </c>
    </row>
    <row r="16" spans="2:16">
      <c r="D16" s="69" t="s">
        <v>23</v>
      </c>
      <c r="E16" s="69" t="s">
        <v>31</v>
      </c>
    </row>
    <row r="17" spans="3:5">
      <c r="D17" s="69" t="s">
        <v>25</v>
      </c>
      <c r="E17" s="69" t="s">
        <v>32</v>
      </c>
    </row>
    <row r="18" spans="3:5">
      <c r="C18" s="69" t="s">
        <v>33</v>
      </c>
    </row>
    <row r="19" spans="3:5">
      <c r="D19" s="69" t="s">
        <v>21</v>
      </c>
      <c r="E19" s="69" t="s">
        <v>34</v>
      </c>
    </row>
    <row r="20" spans="3:5">
      <c r="D20" s="69" t="s">
        <v>23</v>
      </c>
      <c r="E20" s="69" t="s">
        <v>35</v>
      </c>
    </row>
    <row r="21" spans="3:5">
      <c r="D21" s="69" t="s">
        <v>25</v>
      </c>
      <c r="E21" s="69" t="s">
        <v>36</v>
      </c>
    </row>
    <row r="22" spans="3:5">
      <c r="C22" s="69" t="s">
        <v>37</v>
      </c>
    </row>
    <row r="23" spans="3:5">
      <c r="D23" s="69" t="s">
        <v>21</v>
      </c>
      <c r="E23" s="69" t="s">
        <v>38</v>
      </c>
    </row>
    <row r="24" spans="3:5">
      <c r="D24" s="69" t="s">
        <v>23</v>
      </c>
      <c r="E24" s="69" t="s">
        <v>39</v>
      </c>
    </row>
    <row r="25" spans="3:5">
      <c r="D25" s="69" t="s">
        <v>25</v>
      </c>
      <c r="E25" s="69" t="s">
        <v>40</v>
      </c>
    </row>
    <row r="26" spans="3:5">
      <c r="C26" s="69" t="s">
        <v>41</v>
      </c>
    </row>
    <row r="27" spans="3:5">
      <c r="D27" s="69" t="s">
        <v>21</v>
      </c>
      <c r="E27" s="69" t="s">
        <v>42</v>
      </c>
    </row>
    <row r="28" spans="3:5">
      <c r="D28" s="69" t="s">
        <v>23</v>
      </c>
      <c r="E28" s="69" t="s">
        <v>43</v>
      </c>
    </row>
    <row r="29" spans="3:5">
      <c r="D29" s="69" t="s">
        <v>25</v>
      </c>
      <c r="E29" s="69" t="s">
        <v>44</v>
      </c>
    </row>
  </sheetData>
  <mergeCells count="13">
    <mergeCell ref="C4:C5"/>
    <mergeCell ref="D4:E4"/>
    <mergeCell ref="F4:G4"/>
    <mergeCell ref="H4:I4"/>
    <mergeCell ref="J4:K4"/>
    <mergeCell ref="O4:O5"/>
    <mergeCell ref="P4:P5"/>
    <mergeCell ref="D6:K6"/>
    <mergeCell ref="D3:K3"/>
    <mergeCell ref="M3:P3"/>
    <mergeCell ref="L4:L5"/>
    <mergeCell ref="M4:M5"/>
    <mergeCell ref="N4:N5"/>
  </mergeCells>
  <phoneticPr fontId="1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D483C-C0FF-4B1B-A873-0855F1FA475E}">
  <dimension ref="B2:P29"/>
  <sheetViews>
    <sheetView showGridLines="0" workbookViewId="0">
      <selection activeCell="I12" sqref="I12"/>
    </sheetView>
  </sheetViews>
  <sheetFormatPr defaultColWidth="8" defaultRowHeight="13.5"/>
  <cols>
    <col min="1" max="1" width="8" style="60"/>
    <col min="2" max="2" width="4.5703125" style="60" customWidth="1"/>
    <col min="3" max="3" width="10.5703125" style="60" customWidth="1"/>
    <col min="4" max="11" width="8.85546875" style="60" customWidth="1"/>
    <col min="12" max="16" width="10.5703125" style="60" customWidth="1"/>
    <col min="17" max="16384" width="8" style="60"/>
  </cols>
  <sheetData>
    <row r="2" spans="2:16" ht="14.1" thickBot="1">
      <c r="B2" s="60" t="s">
        <v>45</v>
      </c>
    </row>
    <row r="3" spans="2:16" ht="27.6" thickBot="1">
      <c r="C3" s="61"/>
      <c r="D3" s="526" t="s">
        <v>46</v>
      </c>
      <c r="E3" s="527"/>
      <c r="F3" s="527"/>
      <c r="G3" s="527"/>
      <c r="H3" s="527"/>
      <c r="I3" s="527"/>
      <c r="J3" s="527"/>
      <c r="K3" s="528"/>
      <c r="L3" s="62" t="s">
        <v>47</v>
      </c>
      <c r="M3" s="529" t="s">
        <v>48</v>
      </c>
      <c r="N3" s="529"/>
      <c r="O3" s="529"/>
      <c r="P3" s="529"/>
    </row>
    <row r="4" spans="2:16" ht="18" customHeight="1" thickBot="1">
      <c r="C4" s="524" t="s">
        <v>49</v>
      </c>
      <c r="D4" s="523" t="s">
        <v>5</v>
      </c>
      <c r="E4" s="523"/>
      <c r="F4" s="523" t="s">
        <v>6</v>
      </c>
      <c r="G4" s="523"/>
      <c r="H4" s="523" t="s">
        <v>7</v>
      </c>
      <c r="I4" s="523"/>
      <c r="J4" s="523" t="s">
        <v>8</v>
      </c>
      <c r="K4" s="523"/>
      <c r="L4" s="524" t="s">
        <v>50</v>
      </c>
      <c r="M4" s="524" t="s">
        <v>51</v>
      </c>
      <c r="N4" s="524" t="s">
        <v>52</v>
      </c>
      <c r="O4" s="524" t="s">
        <v>53</v>
      </c>
      <c r="P4" s="524" t="s">
        <v>54</v>
      </c>
    </row>
    <row r="5" spans="2:16" ht="18" customHeight="1" thickBot="1">
      <c r="C5" s="525"/>
      <c r="D5" s="63" t="s">
        <v>55</v>
      </c>
      <c r="E5" s="63" t="s">
        <v>56</v>
      </c>
      <c r="F5" s="63" t="s">
        <v>55</v>
      </c>
      <c r="G5" s="63" t="s">
        <v>56</v>
      </c>
      <c r="H5" s="63" t="s">
        <v>55</v>
      </c>
      <c r="I5" s="63" t="s">
        <v>56</v>
      </c>
      <c r="J5" s="63" t="s">
        <v>55</v>
      </c>
      <c r="K5" s="63" t="s">
        <v>56</v>
      </c>
      <c r="L5" s="525"/>
      <c r="M5" s="525"/>
      <c r="N5" s="525"/>
      <c r="O5" s="525"/>
      <c r="P5" s="525"/>
    </row>
    <row r="6" spans="2:16" ht="18" customHeight="1" thickBot="1">
      <c r="C6" s="64" t="s">
        <v>57</v>
      </c>
      <c r="D6" s="522" t="s">
        <v>58</v>
      </c>
      <c r="E6" s="522"/>
      <c r="F6" s="522"/>
      <c r="G6" s="522"/>
      <c r="H6" s="522"/>
      <c r="I6" s="522"/>
      <c r="J6" s="522"/>
      <c r="K6" s="522"/>
      <c r="L6" s="64" t="s">
        <v>59</v>
      </c>
      <c r="M6" s="64" t="s">
        <v>59</v>
      </c>
      <c r="N6" s="64" t="s">
        <v>59</v>
      </c>
      <c r="O6" s="64" t="s">
        <v>59</v>
      </c>
      <c r="P6" s="64" t="s">
        <v>60</v>
      </c>
    </row>
    <row r="8" spans="2:16">
      <c r="C8" s="60" t="s">
        <v>61</v>
      </c>
      <c r="M8" s="60" t="s">
        <v>62</v>
      </c>
    </row>
    <row r="9" spans="2:16">
      <c r="C9" s="60" t="s">
        <v>63</v>
      </c>
      <c r="M9" s="60" t="s">
        <v>64</v>
      </c>
    </row>
    <row r="10" spans="2:16">
      <c r="D10" s="60" t="s">
        <v>65</v>
      </c>
      <c r="E10" s="60" t="s">
        <v>66</v>
      </c>
      <c r="N10" s="60" t="s">
        <v>67</v>
      </c>
      <c r="O10" s="60" t="s">
        <v>68</v>
      </c>
    </row>
    <row r="11" spans="2:16">
      <c r="D11" s="60" t="s">
        <v>69</v>
      </c>
      <c r="E11" s="60" t="s">
        <v>70</v>
      </c>
      <c r="N11" s="60" t="s">
        <v>71</v>
      </c>
      <c r="O11" s="60" t="s">
        <v>72</v>
      </c>
    </row>
    <row r="12" spans="2:16">
      <c r="D12" s="60" t="s">
        <v>73</v>
      </c>
      <c r="E12" s="60" t="s">
        <v>74</v>
      </c>
      <c r="N12" s="60" t="s">
        <v>75</v>
      </c>
      <c r="O12" s="60" t="s">
        <v>76</v>
      </c>
    </row>
    <row r="13" spans="2:16">
      <c r="D13" s="60" t="s">
        <v>77</v>
      </c>
      <c r="E13" s="60" t="s">
        <v>78</v>
      </c>
      <c r="N13" s="60" t="s">
        <v>79</v>
      </c>
      <c r="O13" s="60" t="s">
        <v>80</v>
      </c>
    </row>
    <row r="14" spans="2:16">
      <c r="C14" s="60" t="s">
        <v>81</v>
      </c>
      <c r="M14" s="60" t="s">
        <v>82</v>
      </c>
    </row>
    <row r="15" spans="2:16">
      <c r="D15" s="60" t="s">
        <v>65</v>
      </c>
      <c r="E15" s="60" t="s">
        <v>83</v>
      </c>
      <c r="N15" s="60" t="s">
        <v>67</v>
      </c>
      <c r="O15" s="60" t="s">
        <v>84</v>
      </c>
    </row>
    <row r="16" spans="2:16">
      <c r="D16" s="60" t="s">
        <v>69</v>
      </c>
      <c r="E16" s="60" t="s">
        <v>85</v>
      </c>
      <c r="N16" s="60" t="s">
        <v>71</v>
      </c>
      <c r="O16" s="60" t="s">
        <v>86</v>
      </c>
    </row>
    <row r="17" spans="3:15">
      <c r="D17" s="60" t="s">
        <v>73</v>
      </c>
      <c r="E17" s="60" t="s">
        <v>87</v>
      </c>
      <c r="N17" s="60" t="s">
        <v>75</v>
      </c>
      <c r="O17" s="60" t="s">
        <v>88</v>
      </c>
    </row>
    <row r="18" spans="3:15">
      <c r="C18" s="60" t="s">
        <v>89</v>
      </c>
      <c r="M18" s="60" t="s">
        <v>90</v>
      </c>
    </row>
    <row r="19" spans="3:15">
      <c r="D19" s="60" t="s">
        <v>65</v>
      </c>
      <c r="E19" s="60" t="s">
        <v>91</v>
      </c>
      <c r="N19" s="60" t="s">
        <v>67</v>
      </c>
      <c r="O19" s="60" t="s">
        <v>92</v>
      </c>
    </row>
    <row r="20" spans="3:15">
      <c r="D20" s="60" t="s">
        <v>69</v>
      </c>
      <c r="E20" s="60" t="s">
        <v>93</v>
      </c>
      <c r="N20" s="60" t="s">
        <v>71</v>
      </c>
      <c r="O20" s="60" t="s">
        <v>94</v>
      </c>
    </row>
    <row r="21" spans="3:15">
      <c r="D21" s="60" t="s">
        <v>73</v>
      </c>
      <c r="E21" s="60" t="s">
        <v>95</v>
      </c>
      <c r="N21" s="60" t="s">
        <v>75</v>
      </c>
      <c r="O21" s="60" t="s">
        <v>96</v>
      </c>
    </row>
    <row r="22" spans="3:15">
      <c r="C22" s="60" t="s">
        <v>97</v>
      </c>
      <c r="M22" s="60" t="s">
        <v>98</v>
      </c>
    </row>
    <row r="23" spans="3:15">
      <c r="D23" s="60" t="s">
        <v>65</v>
      </c>
      <c r="E23" s="60" t="s">
        <v>99</v>
      </c>
      <c r="N23" s="60" t="s">
        <v>67</v>
      </c>
      <c r="O23" s="60" t="s">
        <v>100</v>
      </c>
    </row>
    <row r="24" spans="3:15">
      <c r="D24" s="60" t="s">
        <v>69</v>
      </c>
      <c r="E24" s="60" t="s">
        <v>101</v>
      </c>
      <c r="N24" s="60" t="s">
        <v>71</v>
      </c>
      <c r="O24" s="60" t="s">
        <v>102</v>
      </c>
    </row>
    <row r="25" spans="3:15">
      <c r="D25" s="60" t="s">
        <v>73</v>
      </c>
      <c r="E25" s="60" t="s">
        <v>103</v>
      </c>
      <c r="N25" s="60" t="s">
        <v>75</v>
      </c>
      <c r="O25" s="60" t="s">
        <v>104</v>
      </c>
    </row>
    <row r="26" spans="3:15">
      <c r="C26" s="60" t="s">
        <v>105</v>
      </c>
      <c r="M26" s="60" t="s">
        <v>106</v>
      </c>
    </row>
    <row r="27" spans="3:15">
      <c r="D27" s="60" t="s">
        <v>65</v>
      </c>
      <c r="E27" s="60" t="s">
        <v>107</v>
      </c>
      <c r="N27" s="60" t="s">
        <v>67</v>
      </c>
      <c r="O27" s="60" t="s">
        <v>108</v>
      </c>
    </row>
    <row r="28" spans="3:15">
      <c r="D28" s="60" t="s">
        <v>69</v>
      </c>
      <c r="E28" s="60" t="s">
        <v>109</v>
      </c>
      <c r="N28" s="60" t="s">
        <v>71</v>
      </c>
      <c r="O28" s="60" t="s">
        <v>110</v>
      </c>
    </row>
    <row r="29" spans="3:15">
      <c r="D29" s="60" t="s">
        <v>73</v>
      </c>
      <c r="E29" s="60" t="s">
        <v>111</v>
      </c>
      <c r="N29" s="60" t="s">
        <v>75</v>
      </c>
      <c r="O29" s="60" t="s">
        <v>112</v>
      </c>
    </row>
  </sheetData>
  <mergeCells count="13">
    <mergeCell ref="C4:C5"/>
    <mergeCell ref="D3:K3"/>
    <mergeCell ref="P4:P5"/>
    <mergeCell ref="O4:O5"/>
    <mergeCell ref="N4:N5"/>
    <mergeCell ref="M4:M5"/>
    <mergeCell ref="L4:L5"/>
    <mergeCell ref="M3:P3"/>
    <mergeCell ref="D6:K6"/>
    <mergeCell ref="J4:K4"/>
    <mergeCell ref="H4:I4"/>
    <mergeCell ref="F4:G4"/>
    <mergeCell ref="D4:E4"/>
  </mergeCells>
  <phoneticPr fontId="1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2692D-0D74-486D-8AEB-48483E984161}">
  <dimension ref="B2:ES35"/>
  <sheetViews>
    <sheetView showGridLines="0" zoomScale="85" zoomScaleNormal="85" workbookViewId="0">
      <pane xSplit="21" ySplit="9" topLeftCell="AH10" activePane="bottomRight" state="frozen"/>
      <selection pane="bottomRight" activeCell="R10" sqref="R10"/>
      <selection pane="bottomLeft" activeCell="A10" sqref="A10"/>
      <selection pane="topRight" activeCell="P1" sqref="P1"/>
    </sheetView>
  </sheetViews>
  <sheetFormatPr defaultRowHeight="11.1"/>
  <cols>
    <col min="1" max="1" width="2.5703125" customWidth="1"/>
    <col min="2" max="2" width="24.42578125" bestFit="1" customWidth="1"/>
    <col min="3" max="3" width="8.140625" bestFit="1" customWidth="1"/>
    <col min="4" max="4" width="7.85546875" customWidth="1"/>
    <col min="5" max="16" width="6.5703125" customWidth="1"/>
    <col min="17" max="17" width="10.140625" customWidth="1"/>
    <col min="18" max="24" width="7.85546875" customWidth="1"/>
    <col min="25" max="25" width="11.7109375" customWidth="1"/>
    <col min="26" max="27" width="35.42578125" customWidth="1"/>
    <col min="28" max="28" width="11" customWidth="1"/>
    <col min="29" max="29" width="35.42578125" customWidth="1"/>
    <col min="30" max="149" width="10.5703125" customWidth="1"/>
  </cols>
  <sheetData>
    <row r="2" spans="2:149" ht="15">
      <c r="B2" s="25" t="s">
        <v>113</v>
      </c>
      <c r="C2" s="25"/>
      <c r="D2" s="25"/>
      <c r="E2" s="32" t="s">
        <v>114</v>
      </c>
      <c r="F2" s="16"/>
      <c r="G2" s="16"/>
      <c r="H2" s="16"/>
      <c r="I2" s="16"/>
      <c r="J2" s="16"/>
      <c r="K2" s="70"/>
      <c r="L2" s="16"/>
      <c r="M2" s="16"/>
      <c r="N2" s="71"/>
      <c r="O2" s="1"/>
      <c r="R2" s="25"/>
      <c r="S2" s="25"/>
      <c r="T2" s="25"/>
      <c r="U2" s="25"/>
      <c r="V2" s="25"/>
      <c r="W2" s="25"/>
      <c r="X2" s="25"/>
      <c r="Y2" s="25"/>
      <c r="AA2" s="54"/>
    </row>
    <row r="3" spans="2:149">
      <c r="B3" t="s">
        <v>115</v>
      </c>
      <c r="E3" s="1" t="s">
        <v>14</v>
      </c>
      <c r="G3" s="24" t="s">
        <v>116</v>
      </c>
      <c r="M3" s="24"/>
      <c r="N3" s="72"/>
      <c r="O3" s="1"/>
      <c r="AA3" s="54"/>
    </row>
    <row r="4" spans="2:149">
      <c r="E4" s="34"/>
      <c r="G4" s="24" t="s">
        <v>117</v>
      </c>
      <c r="K4" s="24"/>
      <c r="M4" s="24"/>
      <c r="N4" s="72"/>
      <c r="O4" s="1"/>
    </row>
    <row r="5" spans="2:149">
      <c r="E5" s="34" t="s">
        <v>15</v>
      </c>
      <c r="G5" s="24" t="s">
        <v>118</v>
      </c>
      <c r="K5" s="24"/>
      <c r="M5" s="24"/>
      <c r="N5" s="72"/>
      <c r="O5" s="1"/>
    </row>
    <row r="6" spans="2:149">
      <c r="E6" s="2"/>
      <c r="F6" s="22"/>
      <c r="G6" s="22" t="s">
        <v>119</v>
      </c>
      <c r="H6" s="17"/>
      <c r="I6" s="17"/>
      <c r="J6" s="17"/>
      <c r="K6" s="17"/>
      <c r="L6" s="22"/>
      <c r="M6" s="22"/>
      <c r="N6" s="73"/>
      <c r="O6" s="1"/>
      <c r="AD6" s="10" t="s">
        <v>120</v>
      </c>
      <c r="AE6" s="51"/>
      <c r="AF6" s="11"/>
      <c r="AG6" s="11"/>
      <c r="AH6" s="11"/>
      <c r="AI6" s="11"/>
      <c r="AJ6" s="11"/>
      <c r="AK6" s="11"/>
      <c r="AL6" s="11"/>
      <c r="AM6" s="12"/>
      <c r="AN6" s="43" t="s">
        <v>121</v>
      </c>
      <c r="AO6" s="51"/>
      <c r="AP6" s="11"/>
      <c r="AQ6" s="11"/>
      <c r="AR6" s="11"/>
      <c r="AS6" s="11"/>
      <c r="AT6" s="11"/>
      <c r="AU6" s="11"/>
      <c r="AV6" s="11"/>
      <c r="AW6" s="12"/>
      <c r="AX6" s="43" t="s">
        <v>122</v>
      </c>
      <c r="AY6" s="51"/>
      <c r="AZ6" s="11"/>
      <c r="BA6" s="11"/>
      <c r="BB6" s="11"/>
      <c r="BC6" s="11"/>
      <c r="BD6" s="11"/>
      <c r="BE6" s="11"/>
      <c r="BF6" s="11"/>
      <c r="BG6" s="12"/>
      <c r="BH6" s="43" t="s">
        <v>123</v>
      </c>
      <c r="BI6" s="51"/>
      <c r="BJ6" s="11"/>
      <c r="BK6" s="11"/>
      <c r="BL6" s="11"/>
      <c r="BM6" s="11"/>
      <c r="BN6" s="11"/>
      <c r="BO6" s="11"/>
      <c r="BP6" s="11"/>
      <c r="BQ6" s="12"/>
      <c r="BR6" s="43" t="s">
        <v>124</v>
      </c>
      <c r="BS6" s="51"/>
      <c r="BT6" s="11"/>
      <c r="BU6" s="11"/>
      <c r="BV6" s="11"/>
      <c r="BW6" s="11"/>
      <c r="BX6" s="11"/>
      <c r="BY6" s="11"/>
      <c r="BZ6" s="11"/>
      <c r="CA6" s="12"/>
      <c r="CB6" s="43" t="s">
        <v>125</v>
      </c>
      <c r="CC6" s="51"/>
      <c r="CD6" s="11"/>
      <c r="CE6" s="11"/>
      <c r="CF6" s="11"/>
      <c r="CG6" s="11"/>
      <c r="CH6" s="11"/>
      <c r="CI6" s="11"/>
      <c r="CJ6" s="11"/>
      <c r="CK6" s="12"/>
      <c r="CL6" s="43" t="s">
        <v>126</v>
      </c>
      <c r="CM6" s="51"/>
      <c r="CN6" s="11"/>
      <c r="CO6" s="11"/>
      <c r="CP6" s="11"/>
      <c r="CQ6" s="11"/>
      <c r="CR6" s="11"/>
      <c r="CS6" s="11"/>
      <c r="CT6" s="11"/>
      <c r="CU6" s="12"/>
      <c r="CV6" s="43" t="s">
        <v>127</v>
      </c>
      <c r="CW6" s="51"/>
      <c r="CX6" s="11"/>
      <c r="CY6" s="11"/>
      <c r="CZ6" s="11"/>
      <c r="DA6" s="11"/>
      <c r="DB6" s="11"/>
      <c r="DC6" s="11"/>
      <c r="DD6" s="11"/>
      <c r="DE6" s="12"/>
      <c r="DF6" s="43" t="s">
        <v>128</v>
      </c>
      <c r="DG6" s="51"/>
      <c r="DH6" s="11"/>
      <c r="DI6" s="11"/>
      <c r="DJ6" s="11"/>
      <c r="DK6" s="11"/>
      <c r="DL6" s="11"/>
      <c r="DM6" s="11"/>
      <c r="DN6" s="11"/>
      <c r="DO6" s="12"/>
      <c r="DP6" s="43" t="s">
        <v>129</v>
      </c>
      <c r="DQ6" s="51"/>
      <c r="DR6" s="11"/>
      <c r="DS6" s="11"/>
      <c r="DT6" s="11"/>
      <c r="DU6" s="11"/>
      <c r="DV6" s="11"/>
      <c r="DW6" s="11"/>
      <c r="DX6" s="11"/>
      <c r="DY6" s="12"/>
      <c r="DZ6" s="43" t="s">
        <v>130</v>
      </c>
      <c r="EA6" s="51"/>
      <c r="EB6" s="11"/>
      <c r="EC6" s="11"/>
      <c r="ED6" s="11"/>
      <c r="EE6" s="11"/>
      <c r="EF6" s="11"/>
      <c r="EG6" s="11"/>
      <c r="EH6" s="11"/>
      <c r="EI6" s="12"/>
      <c r="EJ6" s="43" t="s">
        <v>131</v>
      </c>
      <c r="EK6" s="51"/>
      <c r="EL6" s="11"/>
      <c r="EM6" s="11"/>
      <c r="EN6" s="11"/>
      <c r="EO6" s="11"/>
      <c r="EP6" s="11"/>
      <c r="EQ6" s="11"/>
      <c r="ER6" s="11"/>
      <c r="ES6" s="12"/>
    </row>
    <row r="7" spans="2:149">
      <c r="AD7" s="18" t="s">
        <v>132</v>
      </c>
      <c r="AE7" s="12"/>
      <c r="AF7" s="18" t="s">
        <v>14</v>
      </c>
      <c r="AG7" s="11"/>
      <c r="AH7" s="12"/>
      <c r="AI7" s="18" t="s">
        <v>15</v>
      </c>
      <c r="AJ7" s="11"/>
      <c r="AK7" s="11"/>
      <c r="AL7" s="11"/>
      <c r="AM7" s="12"/>
      <c r="AN7" s="18" t="s">
        <v>132</v>
      </c>
      <c r="AO7" s="12"/>
      <c r="AP7" s="18" t="s">
        <v>14</v>
      </c>
      <c r="AQ7" s="11"/>
      <c r="AR7" s="12"/>
      <c r="AS7" s="18" t="s">
        <v>15</v>
      </c>
      <c r="AT7" s="11"/>
      <c r="AU7" s="11"/>
      <c r="AV7" s="11"/>
      <c r="AW7" s="12"/>
      <c r="AX7" s="18" t="s">
        <v>132</v>
      </c>
      <c r="AY7" s="12"/>
      <c r="AZ7" s="18" t="s">
        <v>14</v>
      </c>
      <c r="BA7" s="11"/>
      <c r="BB7" s="12"/>
      <c r="BC7" s="18" t="s">
        <v>15</v>
      </c>
      <c r="BD7" s="11"/>
      <c r="BE7" s="11"/>
      <c r="BF7" s="11"/>
      <c r="BG7" s="12"/>
      <c r="BH7" s="18" t="s">
        <v>132</v>
      </c>
      <c r="BI7" s="12"/>
      <c r="BJ7" s="18" t="s">
        <v>14</v>
      </c>
      <c r="BK7" s="11"/>
      <c r="BL7" s="12"/>
      <c r="BM7" s="18" t="s">
        <v>15</v>
      </c>
      <c r="BN7" s="11"/>
      <c r="BO7" s="11"/>
      <c r="BP7" s="11"/>
      <c r="BQ7" s="12"/>
      <c r="BR7" s="18" t="s">
        <v>132</v>
      </c>
      <c r="BS7" s="12"/>
      <c r="BT7" s="18" t="s">
        <v>14</v>
      </c>
      <c r="BU7" s="11"/>
      <c r="BV7" s="12"/>
      <c r="BW7" s="18" t="s">
        <v>15</v>
      </c>
      <c r="BX7" s="11"/>
      <c r="BY7" s="11"/>
      <c r="BZ7" s="11"/>
      <c r="CA7" s="12"/>
      <c r="CB7" s="18" t="s">
        <v>132</v>
      </c>
      <c r="CC7" s="12"/>
      <c r="CD7" s="18" t="s">
        <v>14</v>
      </c>
      <c r="CE7" s="11"/>
      <c r="CF7" s="12"/>
      <c r="CG7" s="18" t="s">
        <v>15</v>
      </c>
      <c r="CH7" s="11"/>
      <c r="CI7" s="11"/>
      <c r="CJ7" s="11"/>
      <c r="CK7" s="12"/>
      <c r="CL7" s="18" t="s">
        <v>132</v>
      </c>
      <c r="CM7" s="12"/>
      <c r="CN7" s="18" t="s">
        <v>14</v>
      </c>
      <c r="CO7" s="11"/>
      <c r="CP7" s="12"/>
      <c r="CQ7" s="18" t="s">
        <v>15</v>
      </c>
      <c r="CR7" s="11"/>
      <c r="CS7" s="11"/>
      <c r="CT7" s="11"/>
      <c r="CU7" s="12"/>
      <c r="CV7" s="18" t="s">
        <v>132</v>
      </c>
      <c r="CW7" s="12"/>
      <c r="CX7" s="18" t="s">
        <v>14</v>
      </c>
      <c r="CY7" s="11"/>
      <c r="CZ7" s="12"/>
      <c r="DA7" s="18" t="s">
        <v>15</v>
      </c>
      <c r="DB7" s="11"/>
      <c r="DC7" s="11"/>
      <c r="DD7" s="11"/>
      <c r="DE7" s="12"/>
      <c r="DF7" s="18" t="s">
        <v>132</v>
      </c>
      <c r="DG7" s="12"/>
      <c r="DH7" s="18" t="s">
        <v>14</v>
      </c>
      <c r="DI7" s="11"/>
      <c r="DJ7" s="12"/>
      <c r="DK7" s="18" t="s">
        <v>15</v>
      </c>
      <c r="DL7" s="11"/>
      <c r="DM7" s="11"/>
      <c r="DN7" s="11"/>
      <c r="DO7" s="12"/>
      <c r="DP7" s="18" t="s">
        <v>132</v>
      </c>
      <c r="DQ7" s="12"/>
      <c r="DR7" s="18" t="s">
        <v>14</v>
      </c>
      <c r="DS7" s="11"/>
      <c r="DT7" s="12"/>
      <c r="DU7" s="18" t="s">
        <v>15</v>
      </c>
      <c r="DV7" s="11"/>
      <c r="DW7" s="11"/>
      <c r="DX7" s="11"/>
      <c r="DY7" s="12"/>
      <c r="DZ7" s="18" t="s">
        <v>132</v>
      </c>
      <c r="EA7" s="12"/>
      <c r="EB7" s="18" t="s">
        <v>14</v>
      </c>
      <c r="EC7" s="11"/>
      <c r="ED7" s="12"/>
      <c r="EE7" s="18" t="s">
        <v>15</v>
      </c>
      <c r="EF7" s="11"/>
      <c r="EG7" s="11"/>
      <c r="EH7" s="11"/>
      <c r="EI7" s="12"/>
      <c r="EJ7" s="18" t="s">
        <v>132</v>
      </c>
      <c r="EK7" s="12"/>
      <c r="EL7" s="18" t="s">
        <v>14</v>
      </c>
      <c r="EM7" s="11"/>
      <c r="EN7" s="12"/>
      <c r="EO7" s="18" t="s">
        <v>15</v>
      </c>
      <c r="EP7" s="11"/>
      <c r="EQ7" s="11"/>
      <c r="ER7" s="11"/>
      <c r="ES7" s="12"/>
    </row>
    <row r="8" spans="2:149">
      <c r="B8" s="7"/>
      <c r="C8" s="10"/>
      <c r="D8" s="10"/>
      <c r="E8" s="59" t="s">
        <v>133</v>
      </c>
      <c r="F8" s="11"/>
      <c r="G8" s="11"/>
      <c r="H8" s="11"/>
      <c r="I8" s="11"/>
      <c r="J8" s="11"/>
      <c r="K8" s="74"/>
      <c r="L8" s="11"/>
      <c r="M8" s="11"/>
      <c r="N8" s="11"/>
      <c r="O8" s="11"/>
      <c r="P8" s="11"/>
      <c r="Q8" s="11"/>
      <c r="R8" s="11"/>
      <c r="S8" s="11"/>
      <c r="T8" s="11"/>
      <c r="U8" s="12"/>
      <c r="V8" s="57"/>
      <c r="W8" s="58"/>
      <c r="X8" s="58"/>
      <c r="Y8" s="56"/>
      <c r="Z8" s="31" t="s">
        <v>134</v>
      </c>
      <c r="AA8" s="31" t="s">
        <v>135</v>
      </c>
      <c r="AB8" s="45"/>
      <c r="AC8" s="46"/>
      <c r="AD8" s="13"/>
      <c r="AE8" s="7"/>
      <c r="AF8" s="19" t="s">
        <v>116</v>
      </c>
      <c r="AG8" s="41"/>
      <c r="AH8" s="39"/>
      <c r="AI8" s="40" t="s">
        <v>136</v>
      </c>
      <c r="AJ8" s="38"/>
      <c r="AK8" s="39"/>
      <c r="AL8" s="19" t="s">
        <v>137</v>
      </c>
      <c r="AM8" s="15"/>
      <c r="AN8" s="13"/>
      <c r="AO8" s="7"/>
      <c r="AP8" s="19" t="s">
        <v>116</v>
      </c>
      <c r="AQ8" s="41"/>
      <c r="AR8" s="39"/>
      <c r="AS8" s="40" t="s">
        <v>136</v>
      </c>
      <c r="AT8" s="38"/>
      <c r="AU8" s="39"/>
      <c r="AV8" s="19" t="s">
        <v>137</v>
      </c>
      <c r="AW8" s="15"/>
      <c r="AX8" s="13"/>
      <c r="AY8" s="7"/>
      <c r="AZ8" s="19" t="s">
        <v>116</v>
      </c>
      <c r="BA8" s="41"/>
      <c r="BB8" s="39"/>
      <c r="BC8" s="40" t="s">
        <v>136</v>
      </c>
      <c r="BD8" s="38"/>
      <c r="BE8" s="39"/>
      <c r="BF8" s="19" t="s">
        <v>137</v>
      </c>
      <c r="BG8" s="15"/>
      <c r="BH8" s="13"/>
      <c r="BI8" s="7"/>
      <c r="BJ8" s="19" t="s">
        <v>116</v>
      </c>
      <c r="BK8" s="41"/>
      <c r="BL8" s="39"/>
      <c r="BM8" s="40" t="s">
        <v>136</v>
      </c>
      <c r="BN8" s="38"/>
      <c r="BO8" s="39"/>
      <c r="BP8" s="19" t="s">
        <v>137</v>
      </c>
      <c r="BQ8" s="15"/>
      <c r="BR8" s="13"/>
      <c r="BS8" s="7"/>
      <c r="BT8" s="19" t="s">
        <v>116</v>
      </c>
      <c r="BU8" s="41"/>
      <c r="BV8" s="39"/>
      <c r="BW8" s="40" t="s">
        <v>136</v>
      </c>
      <c r="BX8" s="38"/>
      <c r="BY8" s="39"/>
      <c r="BZ8" s="19" t="s">
        <v>137</v>
      </c>
      <c r="CA8" s="15"/>
      <c r="CB8" s="13"/>
      <c r="CC8" s="7"/>
      <c r="CD8" s="19" t="s">
        <v>116</v>
      </c>
      <c r="CE8" s="41"/>
      <c r="CF8" s="39"/>
      <c r="CG8" s="40" t="s">
        <v>136</v>
      </c>
      <c r="CH8" s="38"/>
      <c r="CI8" s="39"/>
      <c r="CJ8" s="19" t="s">
        <v>137</v>
      </c>
      <c r="CK8" s="15"/>
      <c r="CL8" s="13"/>
      <c r="CM8" s="7"/>
      <c r="CN8" s="19" t="s">
        <v>116</v>
      </c>
      <c r="CO8" s="41"/>
      <c r="CP8" s="39"/>
      <c r="CQ8" s="40" t="s">
        <v>136</v>
      </c>
      <c r="CR8" s="38"/>
      <c r="CS8" s="39"/>
      <c r="CT8" s="19" t="s">
        <v>137</v>
      </c>
      <c r="CU8" s="15"/>
      <c r="CV8" s="13"/>
      <c r="CW8" s="7"/>
      <c r="CX8" s="19" t="s">
        <v>116</v>
      </c>
      <c r="CY8" s="41"/>
      <c r="CZ8" s="39"/>
      <c r="DA8" s="40" t="s">
        <v>136</v>
      </c>
      <c r="DB8" s="38"/>
      <c r="DC8" s="39"/>
      <c r="DD8" s="19" t="s">
        <v>137</v>
      </c>
      <c r="DE8" s="15"/>
      <c r="DF8" s="13"/>
      <c r="DG8" s="7"/>
      <c r="DH8" s="19" t="s">
        <v>116</v>
      </c>
      <c r="DI8" s="41"/>
      <c r="DJ8" s="39"/>
      <c r="DK8" s="40" t="s">
        <v>136</v>
      </c>
      <c r="DL8" s="38"/>
      <c r="DM8" s="39"/>
      <c r="DN8" s="19" t="s">
        <v>137</v>
      </c>
      <c r="DO8" s="15"/>
      <c r="DP8" s="13"/>
      <c r="DQ8" s="7"/>
      <c r="DR8" s="19" t="s">
        <v>116</v>
      </c>
      <c r="DS8" s="41"/>
      <c r="DT8" s="39"/>
      <c r="DU8" s="40" t="s">
        <v>136</v>
      </c>
      <c r="DV8" s="38"/>
      <c r="DW8" s="39"/>
      <c r="DX8" s="19" t="s">
        <v>137</v>
      </c>
      <c r="DY8" s="15"/>
      <c r="DZ8" s="13"/>
      <c r="EA8" s="7"/>
      <c r="EB8" s="19" t="s">
        <v>116</v>
      </c>
      <c r="EC8" s="41"/>
      <c r="ED8" s="39"/>
      <c r="EE8" s="40" t="s">
        <v>136</v>
      </c>
      <c r="EF8" s="38"/>
      <c r="EG8" s="39"/>
      <c r="EH8" s="19" t="s">
        <v>137</v>
      </c>
      <c r="EI8" s="15"/>
      <c r="EJ8" s="13"/>
      <c r="EK8" s="7"/>
      <c r="EL8" s="19" t="s">
        <v>116</v>
      </c>
      <c r="EM8" s="41"/>
      <c r="EN8" s="39"/>
      <c r="EO8" s="40" t="s">
        <v>136</v>
      </c>
      <c r="EP8" s="38"/>
      <c r="EQ8" s="39"/>
      <c r="ER8" s="19" t="s">
        <v>137</v>
      </c>
      <c r="ES8" s="15"/>
    </row>
    <row r="9" spans="2:149" ht="44.1">
      <c r="B9" s="8" t="s">
        <v>138</v>
      </c>
      <c r="C9" s="26" t="s">
        <v>139</v>
      </c>
      <c r="D9" s="30" t="s">
        <v>140</v>
      </c>
      <c r="E9" s="9" t="s">
        <v>120</v>
      </c>
      <c r="F9" s="9" t="s">
        <v>141</v>
      </c>
      <c r="G9" s="9" t="s">
        <v>142</v>
      </c>
      <c r="H9" s="9" t="s">
        <v>143</v>
      </c>
      <c r="I9" s="9" t="s">
        <v>144</v>
      </c>
      <c r="J9" s="49" t="s">
        <v>125</v>
      </c>
      <c r="K9" s="49" t="s">
        <v>126</v>
      </c>
      <c r="L9" s="49" t="s">
        <v>127</v>
      </c>
      <c r="M9" s="49" t="s">
        <v>128</v>
      </c>
      <c r="N9" s="49" t="s">
        <v>129</v>
      </c>
      <c r="O9" s="49" t="s">
        <v>130</v>
      </c>
      <c r="P9" s="49" t="s">
        <v>131</v>
      </c>
      <c r="Q9" s="50" t="s">
        <v>145</v>
      </c>
      <c r="R9" s="30" t="s">
        <v>10</v>
      </c>
      <c r="S9" s="30" t="s">
        <v>146</v>
      </c>
      <c r="T9" s="30" t="s">
        <v>12</v>
      </c>
      <c r="U9" s="30" t="s">
        <v>147</v>
      </c>
      <c r="V9" s="53" t="s">
        <v>148</v>
      </c>
      <c r="W9" s="53" t="s">
        <v>149</v>
      </c>
      <c r="X9" s="53" t="s">
        <v>150</v>
      </c>
      <c r="Y9" s="53" t="s">
        <v>151</v>
      </c>
      <c r="Z9" s="30" t="s">
        <v>152</v>
      </c>
      <c r="AA9" s="30"/>
      <c r="AB9" s="47" t="s">
        <v>153</v>
      </c>
      <c r="AC9" s="48" t="s">
        <v>154</v>
      </c>
      <c r="AD9" s="35" t="s">
        <v>155</v>
      </c>
      <c r="AE9" s="26" t="s">
        <v>156</v>
      </c>
      <c r="AF9" s="20" t="s">
        <v>157</v>
      </c>
      <c r="AG9" s="21" t="s">
        <v>158</v>
      </c>
      <c r="AH9" s="23" t="s">
        <v>159</v>
      </c>
      <c r="AI9" s="21" t="s">
        <v>160</v>
      </c>
      <c r="AJ9" s="21" t="s">
        <v>161</v>
      </c>
      <c r="AK9" s="21" t="s">
        <v>162</v>
      </c>
      <c r="AL9" s="21" t="s">
        <v>163</v>
      </c>
      <c r="AM9" s="23" t="s">
        <v>164</v>
      </c>
      <c r="AN9" s="35" t="s">
        <v>155</v>
      </c>
      <c r="AO9" s="26" t="s">
        <v>156</v>
      </c>
      <c r="AP9" s="20" t="s">
        <v>157</v>
      </c>
      <c r="AQ9" s="21" t="s">
        <v>165</v>
      </c>
      <c r="AR9" s="23" t="s">
        <v>159</v>
      </c>
      <c r="AS9" s="21" t="s">
        <v>160</v>
      </c>
      <c r="AT9" s="21" t="s">
        <v>161</v>
      </c>
      <c r="AU9" s="21" t="s">
        <v>162</v>
      </c>
      <c r="AV9" s="21" t="s">
        <v>163</v>
      </c>
      <c r="AW9" s="23" t="s">
        <v>164</v>
      </c>
      <c r="AX9" s="35" t="s">
        <v>155</v>
      </c>
      <c r="AY9" s="26" t="s">
        <v>156</v>
      </c>
      <c r="AZ9" s="20" t="s">
        <v>157</v>
      </c>
      <c r="BA9" s="21" t="s">
        <v>165</v>
      </c>
      <c r="BB9" s="23" t="s">
        <v>159</v>
      </c>
      <c r="BC9" s="21" t="s">
        <v>160</v>
      </c>
      <c r="BD9" s="21" t="s">
        <v>161</v>
      </c>
      <c r="BE9" s="21" t="s">
        <v>162</v>
      </c>
      <c r="BF9" s="21" t="s">
        <v>163</v>
      </c>
      <c r="BG9" s="23" t="s">
        <v>164</v>
      </c>
      <c r="BH9" s="35" t="s">
        <v>155</v>
      </c>
      <c r="BI9" s="26" t="s">
        <v>156</v>
      </c>
      <c r="BJ9" s="20" t="s">
        <v>157</v>
      </c>
      <c r="BK9" s="21" t="s">
        <v>165</v>
      </c>
      <c r="BL9" s="23" t="s">
        <v>159</v>
      </c>
      <c r="BM9" s="21" t="s">
        <v>160</v>
      </c>
      <c r="BN9" s="21" t="s">
        <v>161</v>
      </c>
      <c r="BO9" s="21" t="s">
        <v>162</v>
      </c>
      <c r="BP9" s="21" t="s">
        <v>163</v>
      </c>
      <c r="BQ9" s="23" t="s">
        <v>164</v>
      </c>
      <c r="BR9" s="35" t="s">
        <v>155</v>
      </c>
      <c r="BS9" s="26" t="s">
        <v>156</v>
      </c>
      <c r="BT9" s="20" t="s">
        <v>157</v>
      </c>
      <c r="BU9" s="21" t="s">
        <v>165</v>
      </c>
      <c r="BV9" s="23" t="s">
        <v>159</v>
      </c>
      <c r="BW9" s="21" t="s">
        <v>160</v>
      </c>
      <c r="BX9" s="21" t="s">
        <v>161</v>
      </c>
      <c r="BY9" s="21" t="s">
        <v>162</v>
      </c>
      <c r="BZ9" s="21" t="s">
        <v>163</v>
      </c>
      <c r="CA9" s="23" t="s">
        <v>164</v>
      </c>
      <c r="CB9" s="35" t="s">
        <v>155</v>
      </c>
      <c r="CC9" s="26" t="s">
        <v>156</v>
      </c>
      <c r="CD9" s="20" t="s">
        <v>157</v>
      </c>
      <c r="CE9" s="21" t="s">
        <v>165</v>
      </c>
      <c r="CF9" s="23" t="s">
        <v>159</v>
      </c>
      <c r="CG9" s="21" t="s">
        <v>160</v>
      </c>
      <c r="CH9" s="21" t="s">
        <v>161</v>
      </c>
      <c r="CI9" s="21" t="s">
        <v>162</v>
      </c>
      <c r="CJ9" s="21" t="s">
        <v>163</v>
      </c>
      <c r="CK9" s="23" t="s">
        <v>164</v>
      </c>
      <c r="CL9" s="35" t="s">
        <v>155</v>
      </c>
      <c r="CM9" s="26" t="s">
        <v>156</v>
      </c>
      <c r="CN9" s="20" t="s">
        <v>157</v>
      </c>
      <c r="CO9" s="21" t="s">
        <v>165</v>
      </c>
      <c r="CP9" s="23" t="s">
        <v>159</v>
      </c>
      <c r="CQ9" s="21" t="s">
        <v>160</v>
      </c>
      <c r="CR9" s="21" t="s">
        <v>161</v>
      </c>
      <c r="CS9" s="21" t="s">
        <v>162</v>
      </c>
      <c r="CT9" s="21" t="s">
        <v>163</v>
      </c>
      <c r="CU9" s="23" t="s">
        <v>164</v>
      </c>
      <c r="CV9" s="35" t="s">
        <v>155</v>
      </c>
      <c r="CW9" s="26" t="s">
        <v>156</v>
      </c>
      <c r="CX9" s="20" t="s">
        <v>157</v>
      </c>
      <c r="CY9" s="21" t="s">
        <v>165</v>
      </c>
      <c r="CZ9" s="23" t="s">
        <v>159</v>
      </c>
      <c r="DA9" s="21" t="s">
        <v>160</v>
      </c>
      <c r="DB9" s="21" t="s">
        <v>161</v>
      </c>
      <c r="DC9" s="21" t="s">
        <v>162</v>
      </c>
      <c r="DD9" s="21" t="s">
        <v>163</v>
      </c>
      <c r="DE9" s="23" t="s">
        <v>164</v>
      </c>
      <c r="DF9" s="35" t="s">
        <v>155</v>
      </c>
      <c r="DG9" s="26" t="s">
        <v>156</v>
      </c>
      <c r="DH9" s="20" t="s">
        <v>157</v>
      </c>
      <c r="DI9" s="21" t="s">
        <v>165</v>
      </c>
      <c r="DJ9" s="23" t="s">
        <v>159</v>
      </c>
      <c r="DK9" s="21" t="s">
        <v>160</v>
      </c>
      <c r="DL9" s="21" t="s">
        <v>161</v>
      </c>
      <c r="DM9" s="21" t="s">
        <v>162</v>
      </c>
      <c r="DN9" s="21" t="s">
        <v>163</v>
      </c>
      <c r="DO9" s="23" t="s">
        <v>164</v>
      </c>
      <c r="DP9" s="35" t="s">
        <v>155</v>
      </c>
      <c r="DQ9" s="26" t="s">
        <v>156</v>
      </c>
      <c r="DR9" s="20" t="s">
        <v>157</v>
      </c>
      <c r="DS9" s="21" t="s">
        <v>165</v>
      </c>
      <c r="DT9" s="23" t="s">
        <v>159</v>
      </c>
      <c r="DU9" s="21" t="s">
        <v>160</v>
      </c>
      <c r="DV9" s="21" t="s">
        <v>161</v>
      </c>
      <c r="DW9" s="21" t="s">
        <v>162</v>
      </c>
      <c r="DX9" s="21" t="s">
        <v>163</v>
      </c>
      <c r="DY9" s="23" t="s">
        <v>164</v>
      </c>
      <c r="DZ9" s="35" t="s">
        <v>155</v>
      </c>
      <c r="EA9" s="26" t="s">
        <v>156</v>
      </c>
      <c r="EB9" s="20" t="s">
        <v>157</v>
      </c>
      <c r="EC9" s="21" t="s">
        <v>165</v>
      </c>
      <c r="ED9" s="23" t="s">
        <v>159</v>
      </c>
      <c r="EE9" s="21" t="s">
        <v>160</v>
      </c>
      <c r="EF9" s="21" t="s">
        <v>161</v>
      </c>
      <c r="EG9" s="21" t="s">
        <v>162</v>
      </c>
      <c r="EH9" s="21" t="s">
        <v>163</v>
      </c>
      <c r="EI9" s="23" t="s">
        <v>164</v>
      </c>
      <c r="EJ9" s="35" t="s">
        <v>155</v>
      </c>
      <c r="EK9" s="26" t="s">
        <v>156</v>
      </c>
      <c r="EL9" s="20" t="s">
        <v>157</v>
      </c>
      <c r="EM9" s="21" t="s">
        <v>165</v>
      </c>
      <c r="EN9" s="23" t="s">
        <v>159</v>
      </c>
      <c r="EO9" s="21" t="s">
        <v>160</v>
      </c>
      <c r="EP9" s="21" t="s">
        <v>161</v>
      </c>
      <c r="EQ9" s="21" t="s">
        <v>162</v>
      </c>
      <c r="ER9" s="21" t="s">
        <v>163</v>
      </c>
      <c r="ES9" s="23" t="s">
        <v>164</v>
      </c>
    </row>
    <row r="10" spans="2:149" ht="42" customHeight="1">
      <c r="B10" s="27" t="s">
        <v>166</v>
      </c>
      <c r="C10" s="27" t="s">
        <v>167</v>
      </c>
      <c r="D10" s="28">
        <v>12</v>
      </c>
      <c r="E10" s="75" t="str">
        <f>IF(AND(AH10&gt;0.6,AK10&lt;=8,AL10=AM10),"○","×")</f>
        <v>○</v>
      </c>
      <c r="F10" s="75" t="str">
        <f>IF(AND(AR10&gt;0.6,AU10&lt;=8,AV10=AW10),"○","×")</f>
        <v>○</v>
      </c>
      <c r="G10" s="75" t="str">
        <f>IF(AND(BB10&gt;0.6,BE10&lt;=8,BF10=BG10),"○","×")</f>
        <v>○</v>
      </c>
      <c r="H10" s="75" t="str">
        <f>IF(AND(BL10&gt;0.6,BO10&lt;=8,BP10=BQ10),"○","×")</f>
        <v>○</v>
      </c>
      <c r="I10" s="75" t="str">
        <f>IF(AND(BV10&gt;0.6,BY10&lt;=8,BZ10=CA10),"○","×")</f>
        <v>○</v>
      </c>
      <c r="J10" s="75" t="str">
        <f>IF(AND(CF10&gt;0.6,CI10&lt;=8,CJ10=CK10),"○","×")</f>
        <v>○</v>
      </c>
      <c r="K10" s="75" t="str">
        <f>IF(AND(CP10&gt;0.6,CS10&lt;=8,CT10=CU10),"○","×")</f>
        <v>○</v>
      </c>
      <c r="L10" s="75" t="str">
        <f>IF(AND(CZ10&gt;0.6,DC10&lt;=8,DD10=DE10),"○","×")</f>
        <v>○</v>
      </c>
      <c r="M10" s="75" t="str">
        <f>IF(AND(DJ10&gt;0.6,DM10&lt;=8,DN10=DO10),"○","×")</f>
        <v>○</v>
      </c>
      <c r="N10" s="75" t="str">
        <f>IF(AND(DT10&gt;0.6,DW10&lt;=8,DX10=DY10),"○","×")</f>
        <v>○</v>
      </c>
      <c r="O10" s="75" t="str">
        <f>IF(AND(ED10&gt;0.6,EG10&lt;=8,EH10=EI10),"○","×")</f>
        <v>○</v>
      </c>
      <c r="P10" s="75" t="str">
        <f>IF(AND(EN10&gt;0.6,EQ10&lt;=8,ER10=ES10),"○","×")</f>
        <v>○</v>
      </c>
      <c r="Q10" s="76">
        <f>COUNTIF(AD10:ES10,"○")/D10</f>
        <v>1</v>
      </c>
      <c r="R10" s="28">
        <v>5</v>
      </c>
      <c r="S10" s="28">
        <v>3</v>
      </c>
      <c r="T10" s="28">
        <v>3</v>
      </c>
      <c r="U10" s="28">
        <v>5</v>
      </c>
      <c r="V10" s="77">
        <f>((COUNTIF(AH10,"&gt;=0.6")+COUNTIF(AR10,"&gt;=0.6")+COUNTIF(BB10,"&gt;=0.6")+COUNTIF(BL10,"&gt;=0.6")+COUNTIF(BV10,"&gt;=0.6")+COUNTIF(CF10,"&gt;=0.6")+COUNTIF(CP10,"&gt;=0.6")+COUNTIF(CZ10,"&gt;=0.6")+COUNTIF(DJ10,"&gt;=0.6")+COUNTIF(DT10,"&gt;=0.6")+COUNTIF(ED10,"&gt;=0.6")+COUNTIF(EN10,"&gt;=0.6"))*(75/(D10*2)))</f>
        <v>37.5</v>
      </c>
      <c r="W10" s="77">
        <f>((COUNTIF(AK10,"&lt;=8")+COUNTIF(AU10,"&lt;=8")+COUNTIF(BE10,"&lt;=8")+COUNTIF(BO10,"&lt;=8")+COUNTIF(BY10,"&lt;=8")+COUNTIF(CI10,"&lt;=8")+COUNTIF(CS10,"&lt;=8")+COUNTIF(DC10,"&lt;=8")+COUNTIF(DM10,"&lt;=8")+COUNTIF(DW10,"&lt;=8")+COUNTIF(EG10,"&lt;=8")+COUNTIF(EQ10,"&lt;=8"))*(75/(D10*2)))</f>
        <v>37.5</v>
      </c>
      <c r="X10" s="77" cm="1">
        <f t="array" ref="X10">_xlfn.IFS(Q10&gt;=0.8,5,Q10&gt;=0.6,3,Q10&gt;=0.2,1,Q10&lt;0.2,0)</f>
        <v>5</v>
      </c>
      <c r="Y10" s="55">
        <f>SUM(R10:X10)</f>
        <v>96</v>
      </c>
      <c r="Z10" s="29"/>
      <c r="AA10" s="29"/>
      <c r="AB10" s="14" t="s">
        <v>168</v>
      </c>
      <c r="AC10" s="29"/>
      <c r="AD10" s="36" t="s">
        <v>169</v>
      </c>
      <c r="AE10" s="4" t="s">
        <v>168</v>
      </c>
      <c r="AF10" s="6">
        <v>23.2</v>
      </c>
      <c r="AG10" s="6">
        <v>20</v>
      </c>
      <c r="AH10" s="33">
        <f>IF(AG10="","",AF10/AG10)</f>
        <v>1.1599999999999999</v>
      </c>
      <c r="AI10" s="42">
        <v>0.5</v>
      </c>
      <c r="AJ10" s="3">
        <v>4</v>
      </c>
      <c r="AK10" s="37">
        <f>IF(AJ10="","",AJ10/AI10)</f>
        <v>8</v>
      </c>
      <c r="AL10" s="3">
        <v>8</v>
      </c>
      <c r="AM10" s="3">
        <v>8</v>
      </c>
      <c r="AN10" s="36" t="s">
        <v>169</v>
      </c>
      <c r="AO10" s="4" t="s">
        <v>168</v>
      </c>
      <c r="AP10" s="6">
        <v>23.2</v>
      </c>
      <c r="AQ10" s="6">
        <v>20</v>
      </c>
      <c r="AR10" s="33">
        <f>IF(AQ10="","",AP10/AQ10)</f>
        <v>1.1599999999999999</v>
      </c>
      <c r="AS10" s="42">
        <v>0.5</v>
      </c>
      <c r="AT10" s="3">
        <v>4</v>
      </c>
      <c r="AU10" s="37">
        <f>IF(AT10="","",AT10/AS10)</f>
        <v>8</v>
      </c>
      <c r="AV10" s="3">
        <v>8</v>
      </c>
      <c r="AW10" s="3">
        <v>8</v>
      </c>
      <c r="AX10" s="36" t="s">
        <v>169</v>
      </c>
      <c r="AY10" s="4" t="s">
        <v>168</v>
      </c>
      <c r="AZ10" s="6">
        <v>23.2</v>
      </c>
      <c r="BA10" s="6">
        <v>20</v>
      </c>
      <c r="BB10" s="33">
        <f>IF(BA10="","",AZ10/BA10)</f>
        <v>1.1599999999999999</v>
      </c>
      <c r="BC10" s="42">
        <v>0.5</v>
      </c>
      <c r="BD10" s="3">
        <v>4</v>
      </c>
      <c r="BE10" s="37">
        <f>IF(BD10="","",BD10/BC10)</f>
        <v>8</v>
      </c>
      <c r="BF10" s="3">
        <v>8</v>
      </c>
      <c r="BG10" s="3">
        <v>8</v>
      </c>
      <c r="BH10" s="36" t="s">
        <v>169</v>
      </c>
      <c r="BI10" s="4" t="s">
        <v>168</v>
      </c>
      <c r="BJ10" s="6">
        <v>23.2</v>
      </c>
      <c r="BK10" s="6">
        <v>20</v>
      </c>
      <c r="BL10" s="33">
        <f>IF(BK10="","",BJ10/BK10)</f>
        <v>1.1599999999999999</v>
      </c>
      <c r="BM10" s="42">
        <v>0.5</v>
      </c>
      <c r="BN10" s="3">
        <v>4</v>
      </c>
      <c r="BO10" s="37">
        <f>IF(BN10="","",BN10/BM10)</f>
        <v>8</v>
      </c>
      <c r="BP10" s="3">
        <v>8</v>
      </c>
      <c r="BQ10" s="3">
        <v>8</v>
      </c>
      <c r="BR10" s="36" t="s">
        <v>169</v>
      </c>
      <c r="BS10" s="4" t="s">
        <v>168</v>
      </c>
      <c r="BT10" s="6">
        <v>23.2</v>
      </c>
      <c r="BU10" s="6">
        <v>20</v>
      </c>
      <c r="BV10" s="33">
        <f>IF(BU10="","",BT10/BU10)</f>
        <v>1.1599999999999999</v>
      </c>
      <c r="BW10" s="42">
        <v>0.5</v>
      </c>
      <c r="BX10" s="3">
        <v>4</v>
      </c>
      <c r="BY10" s="37">
        <f>IF(BX10="","",BX10/BW10)</f>
        <v>8</v>
      </c>
      <c r="BZ10" s="3">
        <v>8</v>
      </c>
      <c r="CA10" s="3">
        <v>8</v>
      </c>
      <c r="CB10" s="36" t="s">
        <v>169</v>
      </c>
      <c r="CC10" s="4" t="s">
        <v>168</v>
      </c>
      <c r="CD10" s="6">
        <v>23.2</v>
      </c>
      <c r="CE10" s="6">
        <v>20</v>
      </c>
      <c r="CF10" s="33">
        <f>IF(CE10="","",CD10/CE10)</f>
        <v>1.1599999999999999</v>
      </c>
      <c r="CG10" s="42">
        <v>0.5</v>
      </c>
      <c r="CH10" s="3">
        <v>4</v>
      </c>
      <c r="CI10" s="37">
        <f>IF(CH10="","",CH10/CG10)</f>
        <v>8</v>
      </c>
      <c r="CJ10" s="3">
        <v>8</v>
      </c>
      <c r="CK10" s="3">
        <v>8</v>
      </c>
      <c r="CL10" s="36" t="s">
        <v>169</v>
      </c>
      <c r="CM10" s="4" t="s">
        <v>168</v>
      </c>
      <c r="CN10" s="6">
        <v>23.2</v>
      </c>
      <c r="CO10" s="6">
        <v>20</v>
      </c>
      <c r="CP10" s="33">
        <f>IF(CO10="","",CN10/CO10)</f>
        <v>1.1599999999999999</v>
      </c>
      <c r="CQ10" s="42">
        <v>0.5</v>
      </c>
      <c r="CR10" s="3">
        <v>4</v>
      </c>
      <c r="CS10" s="37">
        <f>IF(CR10="","",CR10/CQ10)</f>
        <v>8</v>
      </c>
      <c r="CT10" s="3">
        <v>8</v>
      </c>
      <c r="CU10" s="3">
        <v>8</v>
      </c>
      <c r="CV10" s="36" t="s">
        <v>169</v>
      </c>
      <c r="CW10" s="4" t="s">
        <v>168</v>
      </c>
      <c r="CX10" s="6">
        <v>23.2</v>
      </c>
      <c r="CY10" s="6">
        <v>20</v>
      </c>
      <c r="CZ10" s="33">
        <f>IF(CY10="","",CX10/CY10)</f>
        <v>1.1599999999999999</v>
      </c>
      <c r="DA10" s="42">
        <v>0.5</v>
      </c>
      <c r="DB10" s="3">
        <v>4</v>
      </c>
      <c r="DC10" s="37">
        <f>IF(DB10="","",DB10/DA10)</f>
        <v>8</v>
      </c>
      <c r="DD10" s="3">
        <v>8</v>
      </c>
      <c r="DE10" s="3">
        <v>8</v>
      </c>
      <c r="DF10" s="36" t="s">
        <v>169</v>
      </c>
      <c r="DG10" s="4" t="s">
        <v>168</v>
      </c>
      <c r="DH10" s="6">
        <v>23.2</v>
      </c>
      <c r="DI10" s="6">
        <v>20</v>
      </c>
      <c r="DJ10" s="33">
        <f>IF(DI10="","",DH10/DI10)</f>
        <v>1.1599999999999999</v>
      </c>
      <c r="DK10" s="42">
        <v>0.5</v>
      </c>
      <c r="DL10" s="3">
        <v>4</v>
      </c>
      <c r="DM10" s="37">
        <f>IF(DL10="","",DL10/DK10)</f>
        <v>8</v>
      </c>
      <c r="DN10" s="3">
        <v>8</v>
      </c>
      <c r="DO10" s="3">
        <v>8</v>
      </c>
      <c r="DP10" s="36" t="s">
        <v>169</v>
      </c>
      <c r="DQ10" s="4" t="s">
        <v>168</v>
      </c>
      <c r="DR10" s="6">
        <v>23.2</v>
      </c>
      <c r="DS10" s="6">
        <v>20</v>
      </c>
      <c r="DT10" s="33">
        <f>IF(DS10="","",DR10/DS10)</f>
        <v>1.1599999999999999</v>
      </c>
      <c r="DU10" s="42">
        <v>0.5</v>
      </c>
      <c r="DV10" s="3">
        <v>4</v>
      </c>
      <c r="DW10" s="37">
        <f>IF(DV10="","",DV10/DU10)</f>
        <v>8</v>
      </c>
      <c r="DX10" s="3">
        <v>8</v>
      </c>
      <c r="DY10" s="3">
        <v>8</v>
      </c>
      <c r="DZ10" s="36" t="s">
        <v>169</v>
      </c>
      <c r="EA10" s="4" t="s">
        <v>168</v>
      </c>
      <c r="EB10" s="6">
        <v>23.2</v>
      </c>
      <c r="EC10" s="6">
        <v>20</v>
      </c>
      <c r="ED10" s="33">
        <f>IF(EC10="","",EB10/EC10)</f>
        <v>1.1599999999999999</v>
      </c>
      <c r="EE10" s="42">
        <v>0.5</v>
      </c>
      <c r="EF10" s="3">
        <v>4</v>
      </c>
      <c r="EG10" s="37">
        <f>IF(EF10="","",EF10/EE10)</f>
        <v>8</v>
      </c>
      <c r="EH10" s="3">
        <v>8</v>
      </c>
      <c r="EI10" s="3">
        <v>8</v>
      </c>
      <c r="EJ10" s="36" t="s">
        <v>169</v>
      </c>
      <c r="EK10" s="4" t="s">
        <v>168</v>
      </c>
      <c r="EL10" s="6">
        <v>23.2</v>
      </c>
      <c r="EM10" s="6">
        <v>20</v>
      </c>
      <c r="EN10" s="33">
        <f>IF(EM10="","",EL10/EM10)</f>
        <v>1.1599999999999999</v>
      </c>
      <c r="EO10" s="42">
        <v>0.5</v>
      </c>
      <c r="EP10" s="3">
        <v>4</v>
      </c>
      <c r="EQ10" s="37">
        <f>IF(EP10="","",EP10/EO10)</f>
        <v>8</v>
      </c>
      <c r="ER10" s="3">
        <v>8</v>
      </c>
      <c r="ES10" s="3">
        <v>8</v>
      </c>
    </row>
    <row r="11" spans="2:149" ht="42" customHeight="1">
      <c r="B11" s="27" t="s">
        <v>170</v>
      </c>
      <c r="C11" s="27" t="s">
        <v>171</v>
      </c>
      <c r="D11" s="28">
        <v>12</v>
      </c>
      <c r="E11" s="75" t="str">
        <f t="shared" ref="E11:E31" si="0">IF(AND(AH11&gt;0.6,AK11&lt;=8,AL11=AM11),"○","×")</f>
        <v>×</v>
      </c>
      <c r="F11" s="75" t="str">
        <f t="shared" ref="F11:F31" si="1">IF(AND(AR11&gt;0.6,AU11&lt;=8,AV11=AW11),"○","×")</f>
        <v>×</v>
      </c>
      <c r="G11" s="75" t="str">
        <f t="shared" ref="G11:G31" si="2">IF(AND(BB11&gt;0.6,BE11&lt;=8,BF11=BG11),"○","×")</f>
        <v>×</v>
      </c>
      <c r="H11" s="75" t="str">
        <f t="shared" ref="H11:H31" si="3">IF(AND(BL11&gt;0.6,BO11&lt;=8,BP11=BQ11),"○","×")</f>
        <v>×</v>
      </c>
      <c r="I11" s="75" t="str">
        <f t="shared" ref="I11:I31" si="4">IF(AND(BV11&gt;0.6,BY11&lt;=8,BZ11=CA11),"○","×")</f>
        <v>×</v>
      </c>
      <c r="J11" s="75" t="str">
        <f t="shared" ref="J11:J31" si="5">IF(AND(CF11&gt;0.6,CI11&lt;=8,CJ11=CK11),"○","×")</f>
        <v>×</v>
      </c>
      <c r="K11" s="75" t="str">
        <f t="shared" ref="K11:K31" si="6">IF(AND(CP11&gt;0.6,CS11&lt;=8,CT11=CU11),"○","×")</f>
        <v>×</v>
      </c>
      <c r="L11" s="75" t="str">
        <f t="shared" ref="L11:L31" si="7">IF(AND(CZ11&gt;0.6,DC11&lt;=8,DD11=DE11),"○","×")</f>
        <v>×</v>
      </c>
      <c r="M11" s="75" t="str">
        <f t="shared" ref="M11:M31" si="8">IF(AND(DJ11&gt;0.6,DM11&lt;=8,DN11=DO11),"○","×")</f>
        <v>×</v>
      </c>
      <c r="N11" s="75" t="str">
        <f t="shared" ref="N11:N31" si="9">IF(AND(DT11&gt;0.6,DW11&lt;=8,DX11=DY11),"○","×")</f>
        <v>×</v>
      </c>
      <c r="O11" s="75" t="str">
        <f t="shared" ref="O11:O31" si="10">IF(AND(ED11&gt;0.6,EG11&lt;=8,EH11=EI11),"○","×")</f>
        <v>×</v>
      </c>
      <c r="P11" s="75" t="str">
        <f t="shared" ref="P11:P31" si="11">IF(AND(EN11&gt;0.6,EQ11&lt;=8,ER11=ES11),"○","×")</f>
        <v>×</v>
      </c>
      <c r="Q11" s="76">
        <f t="shared" ref="Q11:Q31" si="12">COUNTIF(AD11:ES11,"○")/D11</f>
        <v>0.33333333333333331</v>
      </c>
      <c r="R11" s="28">
        <v>5</v>
      </c>
      <c r="S11" s="28">
        <v>5</v>
      </c>
      <c r="T11" s="28">
        <v>5</v>
      </c>
      <c r="U11" s="28">
        <v>5</v>
      </c>
      <c r="V11" s="77">
        <f t="shared" ref="V11:V31" si="13">((COUNTIF(AH11,"&gt;=0.6")+COUNTIF(AR11,"&gt;=0.6")+COUNTIF(BB11,"&gt;=0.6")+COUNTIF(BL11,"&gt;=0.6")+COUNTIF(BV11,"&gt;=0.6")+COUNTIF(CF11,"&gt;=0.6")+COUNTIF(CP11,"&gt;=0.6")+COUNTIF(CZ11,"&gt;=0.6")+COUNTIF(DJ11,"&gt;=0.6")+COUNTIF(DT11,"&gt;=0.6")+COUNTIF(ED11,"&gt;=0.6")+COUNTIF(EN11,"&gt;=0.6"))*(75/(D11*2)))</f>
        <v>0</v>
      </c>
      <c r="W11" s="77">
        <f t="shared" ref="W11:W31" si="14">((COUNTIF(AK11,"&lt;=8")+COUNTIF(AU11,"&lt;=8")+COUNTIF(BE11,"&lt;=8")+COUNTIF(BO11,"&lt;=8")+COUNTIF(BY11,"&lt;=8")+COUNTIF(CI11,"&lt;=8")+COUNTIF(CS11,"&lt;=8")+COUNTIF(DC11,"&lt;=8")+COUNTIF(DM11,"&lt;=8")+COUNTIF(DW11,"&lt;=8")+COUNTIF(EG11,"&lt;=8")+COUNTIF(EQ11,"&lt;=8"))*(75/(D11*2)))</f>
        <v>37.5</v>
      </c>
      <c r="X11" s="77" cm="1">
        <f t="array" ref="X11">_xlfn.IFS(Q11&gt;=0.8,5,Q11&gt;=0.6,3,Q11&gt;=0.2,1,Q11&lt;0.2,0)</f>
        <v>1</v>
      </c>
      <c r="Y11" s="55">
        <f>SUM(R11:X11)</f>
        <v>58.5</v>
      </c>
      <c r="Z11" s="5"/>
      <c r="AA11" s="5"/>
      <c r="AB11" s="14" t="s">
        <v>168</v>
      </c>
      <c r="AC11" s="29"/>
      <c r="AD11" s="36" t="s">
        <v>172</v>
      </c>
      <c r="AE11" s="4" t="s">
        <v>168</v>
      </c>
      <c r="AF11" s="6">
        <v>11.2</v>
      </c>
      <c r="AG11" s="6">
        <v>80</v>
      </c>
      <c r="AH11" s="33">
        <f t="shared" ref="AH11:AH31" si="15">IF(AG11="","",AF11/AG11)</f>
        <v>0.13999999999999999</v>
      </c>
      <c r="AI11" s="42">
        <v>1</v>
      </c>
      <c r="AJ11" s="3">
        <v>0</v>
      </c>
      <c r="AK11" s="37">
        <f t="shared" ref="AK11:AK31" si="16">IF(AJ11="","",AJ11/AI11)</f>
        <v>0</v>
      </c>
      <c r="AL11" s="3">
        <v>6</v>
      </c>
      <c r="AM11" s="3">
        <v>6</v>
      </c>
      <c r="AN11" s="36" t="s">
        <v>172</v>
      </c>
      <c r="AO11" s="4" t="s">
        <v>168</v>
      </c>
      <c r="AP11" s="6">
        <v>11.2</v>
      </c>
      <c r="AQ11" s="6">
        <v>80</v>
      </c>
      <c r="AR11" s="33">
        <f t="shared" ref="AR11:AR31" si="17">IF(AQ11="","",AP11/AQ11)</f>
        <v>0.13999999999999999</v>
      </c>
      <c r="AS11" s="42">
        <v>1</v>
      </c>
      <c r="AT11" s="3">
        <v>0</v>
      </c>
      <c r="AU11" s="37">
        <f t="shared" ref="AU11:AU31" si="18">IF(AT11="","",AT11/AS11)</f>
        <v>0</v>
      </c>
      <c r="AV11" s="3">
        <v>6</v>
      </c>
      <c r="AW11" s="3">
        <v>6</v>
      </c>
      <c r="AX11" s="36" t="s">
        <v>172</v>
      </c>
      <c r="AY11" s="4"/>
      <c r="AZ11" s="6">
        <v>11.2</v>
      </c>
      <c r="BA11" s="6">
        <v>80</v>
      </c>
      <c r="BB11" s="33">
        <f t="shared" ref="BB11:BB31" si="19">IF(BA11="","",AZ11/BA11)</f>
        <v>0.13999999999999999</v>
      </c>
      <c r="BC11" s="42">
        <v>1</v>
      </c>
      <c r="BD11" s="3">
        <v>0</v>
      </c>
      <c r="BE11" s="37">
        <f t="shared" ref="BE11:BE31" si="20">IF(BD11="","",BD11/BC11)</f>
        <v>0</v>
      </c>
      <c r="BF11" s="3">
        <v>6</v>
      </c>
      <c r="BG11" s="3">
        <v>6</v>
      </c>
      <c r="BH11" s="36" t="s">
        <v>172</v>
      </c>
      <c r="BI11" s="4"/>
      <c r="BJ11" s="6">
        <v>11.2</v>
      </c>
      <c r="BK11" s="6">
        <v>80</v>
      </c>
      <c r="BL11" s="33">
        <f t="shared" ref="BL11:BL31" si="21">IF(BK11="","",BJ11/BK11)</f>
        <v>0.13999999999999999</v>
      </c>
      <c r="BM11" s="42">
        <v>1</v>
      </c>
      <c r="BN11" s="3">
        <v>0</v>
      </c>
      <c r="BO11" s="37">
        <f t="shared" ref="BO11:BO31" si="22">IF(BN11="","",BN11/BM11)</f>
        <v>0</v>
      </c>
      <c r="BP11" s="3">
        <v>6</v>
      </c>
      <c r="BQ11" s="3">
        <v>6</v>
      </c>
      <c r="BR11" s="36" t="s">
        <v>172</v>
      </c>
      <c r="BS11" s="4"/>
      <c r="BT11" s="6">
        <v>11.2</v>
      </c>
      <c r="BU11" s="6">
        <v>80</v>
      </c>
      <c r="BV11" s="33">
        <f t="shared" ref="BV11:BV31" si="23">IF(BU11="","",BT11/BU11)</f>
        <v>0.13999999999999999</v>
      </c>
      <c r="BW11" s="42">
        <v>1</v>
      </c>
      <c r="BX11" s="3">
        <v>0</v>
      </c>
      <c r="BY11" s="37">
        <f t="shared" ref="BY11:BY31" si="24">IF(BX11="","",BX11/BW11)</f>
        <v>0</v>
      </c>
      <c r="BZ11" s="3">
        <v>6</v>
      </c>
      <c r="CA11" s="3">
        <v>6</v>
      </c>
      <c r="CB11" s="36" t="s">
        <v>172</v>
      </c>
      <c r="CC11" s="4"/>
      <c r="CD11" s="6">
        <v>11.2</v>
      </c>
      <c r="CE11" s="6">
        <v>80</v>
      </c>
      <c r="CF11" s="33">
        <f t="shared" ref="CF11:CF31" si="25">IF(CE11="","",CD11/CE11)</f>
        <v>0.13999999999999999</v>
      </c>
      <c r="CG11" s="42">
        <v>1</v>
      </c>
      <c r="CH11" s="3">
        <v>0</v>
      </c>
      <c r="CI11" s="37">
        <f t="shared" ref="CI11:CI31" si="26">IF(CH11="","",CH11/CG11)</f>
        <v>0</v>
      </c>
      <c r="CJ11" s="3">
        <v>6</v>
      </c>
      <c r="CK11" s="3">
        <v>6</v>
      </c>
      <c r="CL11" s="36" t="s">
        <v>172</v>
      </c>
      <c r="CM11" s="4" t="s">
        <v>168</v>
      </c>
      <c r="CN11" s="6">
        <v>11.2</v>
      </c>
      <c r="CO11" s="6">
        <v>80</v>
      </c>
      <c r="CP11" s="33">
        <f t="shared" ref="CP11:CP31" si="27">IF(CO11="","",CN11/CO11)</f>
        <v>0.13999999999999999</v>
      </c>
      <c r="CQ11" s="42">
        <v>1</v>
      </c>
      <c r="CR11" s="3">
        <v>0</v>
      </c>
      <c r="CS11" s="37">
        <f t="shared" ref="CS11:CS31" si="28">IF(CR11="","",CR11/CQ11)</f>
        <v>0</v>
      </c>
      <c r="CT11" s="3">
        <v>6</v>
      </c>
      <c r="CU11" s="3">
        <v>6</v>
      </c>
      <c r="CV11" s="36" t="s">
        <v>172</v>
      </c>
      <c r="CW11" s="4" t="s">
        <v>168</v>
      </c>
      <c r="CX11" s="6">
        <v>11.2</v>
      </c>
      <c r="CY11" s="6">
        <v>80</v>
      </c>
      <c r="CZ11" s="33">
        <f t="shared" ref="CZ11:CZ31" si="29">IF(CY11="","",CX11/CY11)</f>
        <v>0.13999999999999999</v>
      </c>
      <c r="DA11" s="42">
        <v>1</v>
      </c>
      <c r="DB11" s="3">
        <v>0</v>
      </c>
      <c r="DC11" s="37">
        <f t="shared" ref="DC11:DC31" si="30">IF(DB11="","",DB11/DA11)</f>
        <v>0</v>
      </c>
      <c r="DD11" s="3">
        <v>6</v>
      </c>
      <c r="DE11" s="3">
        <v>6</v>
      </c>
      <c r="DF11" s="36" t="s">
        <v>172</v>
      </c>
      <c r="DG11" s="4"/>
      <c r="DH11" s="6">
        <v>11.2</v>
      </c>
      <c r="DI11" s="6">
        <v>80</v>
      </c>
      <c r="DJ11" s="33">
        <f t="shared" ref="DJ11:DJ31" si="31">IF(DI11="","",DH11/DI11)</f>
        <v>0.13999999999999999</v>
      </c>
      <c r="DK11" s="42">
        <v>1</v>
      </c>
      <c r="DL11" s="3">
        <v>0</v>
      </c>
      <c r="DM11" s="37">
        <f t="shared" ref="DM11:DM31" si="32">IF(DL11="","",DL11/DK11)</f>
        <v>0</v>
      </c>
      <c r="DN11" s="3">
        <v>6</v>
      </c>
      <c r="DO11" s="3">
        <v>6</v>
      </c>
      <c r="DP11" s="36" t="s">
        <v>172</v>
      </c>
      <c r="DQ11" s="4"/>
      <c r="DR11" s="6">
        <v>11.2</v>
      </c>
      <c r="DS11" s="6">
        <v>80</v>
      </c>
      <c r="DT11" s="33">
        <f t="shared" ref="DT11:DT31" si="33">IF(DS11="","",DR11/DS11)</f>
        <v>0.13999999999999999</v>
      </c>
      <c r="DU11" s="42">
        <v>1</v>
      </c>
      <c r="DV11" s="3">
        <v>0</v>
      </c>
      <c r="DW11" s="37">
        <f t="shared" ref="DW11:DW31" si="34">IF(DV11="","",DV11/DU11)</f>
        <v>0</v>
      </c>
      <c r="DX11" s="3">
        <v>6</v>
      </c>
      <c r="DY11" s="3">
        <v>6</v>
      </c>
      <c r="DZ11" s="36" t="s">
        <v>172</v>
      </c>
      <c r="EA11" s="4"/>
      <c r="EB11" s="6">
        <v>11.2</v>
      </c>
      <c r="EC11" s="6">
        <v>80</v>
      </c>
      <c r="ED11" s="33">
        <f t="shared" ref="ED11:ED31" si="35">IF(EC11="","",EB11/EC11)</f>
        <v>0.13999999999999999</v>
      </c>
      <c r="EE11" s="42">
        <v>1</v>
      </c>
      <c r="EF11" s="3">
        <v>0</v>
      </c>
      <c r="EG11" s="37">
        <f t="shared" ref="EG11:EG31" si="36">IF(EF11="","",EF11/EE11)</f>
        <v>0</v>
      </c>
      <c r="EH11" s="3">
        <v>6</v>
      </c>
      <c r="EI11" s="3">
        <v>6</v>
      </c>
      <c r="EJ11" s="36" t="s">
        <v>172</v>
      </c>
      <c r="EK11" s="4"/>
      <c r="EL11" s="6">
        <v>11.2</v>
      </c>
      <c r="EM11" s="6">
        <v>80</v>
      </c>
      <c r="EN11" s="33">
        <f t="shared" ref="EN11:EN31" si="37">IF(EM11="","",EL11/EM11)</f>
        <v>0.13999999999999999</v>
      </c>
      <c r="EO11" s="42">
        <v>1</v>
      </c>
      <c r="EP11" s="3">
        <v>0</v>
      </c>
      <c r="EQ11" s="37">
        <f t="shared" ref="EQ11:EQ31" si="38">IF(EP11="","",EP11/EO11)</f>
        <v>0</v>
      </c>
      <c r="ER11" s="3">
        <v>6</v>
      </c>
      <c r="ES11" s="3">
        <v>6</v>
      </c>
    </row>
    <row r="12" spans="2:149" ht="42" customHeight="1">
      <c r="B12" s="27" t="s">
        <v>173</v>
      </c>
      <c r="C12" s="27" t="s">
        <v>171</v>
      </c>
      <c r="D12" s="28">
        <v>12</v>
      </c>
      <c r="E12" s="75" t="str">
        <f t="shared" si="0"/>
        <v>○</v>
      </c>
      <c r="F12" s="75" t="str">
        <f t="shared" si="1"/>
        <v>○</v>
      </c>
      <c r="G12" s="75" t="str">
        <f t="shared" si="2"/>
        <v>○</v>
      </c>
      <c r="H12" s="75" t="str">
        <f t="shared" si="3"/>
        <v>○</v>
      </c>
      <c r="I12" s="75" t="str">
        <f t="shared" si="4"/>
        <v>○</v>
      </c>
      <c r="J12" s="75" t="str">
        <f t="shared" si="5"/>
        <v>○</v>
      </c>
      <c r="K12" s="75" t="str">
        <f t="shared" si="6"/>
        <v>○</v>
      </c>
      <c r="L12" s="75" t="str">
        <f t="shared" si="7"/>
        <v>○</v>
      </c>
      <c r="M12" s="75" t="str">
        <f t="shared" si="8"/>
        <v>○</v>
      </c>
      <c r="N12" s="75" t="str">
        <f t="shared" si="9"/>
        <v>○</v>
      </c>
      <c r="O12" s="75" t="str">
        <f t="shared" si="10"/>
        <v>○</v>
      </c>
      <c r="P12" s="75" t="str">
        <f t="shared" si="11"/>
        <v>○</v>
      </c>
      <c r="Q12" s="76">
        <f t="shared" si="12"/>
        <v>0</v>
      </c>
      <c r="R12" s="28">
        <v>3</v>
      </c>
      <c r="S12" s="28">
        <v>3</v>
      </c>
      <c r="T12" s="28">
        <v>3</v>
      </c>
      <c r="U12" s="28">
        <v>3</v>
      </c>
      <c r="V12" s="77">
        <f t="shared" si="13"/>
        <v>37.5</v>
      </c>
      <c r="W12" s="77">
        <f t="shared" si="14"/>
        <v>37.5</v>
      </c>
      <c r="X12" s="77" cm="1">
        <f t="array" ref="X12">_xlfn.IFS(Q12&gt;=0.8,5,Q12&gt;=0.6,3,Q12&gt;=0.2,1,Q12&lt;0.2,0)</f>
        <v>0</v>
      </c>
      <c r="Y12" s="55">
        <f t="shared" ref="Y12:Y31" si="39">SUM(R12:X12)</f>
        <v>87</v>
      </c>
      <c r="Z12" s="5"/>
      <c r="AA12" s="5"/>
      <c r="AB12" s="14" t="s">
        <v>174</v>
      </c>
      <c r="AC12" s="29"/>
      <c r="AD12" s="36" t="s">
        <v>175</v>
      </c>
      <c r="AE12" s="4"/>
      <c r="AF12" s="6">
        <v>46.8</v>
      </c>
      <c r="AG12" s="6">
        <v>20</v>
      </c>
      <c r="AH12" s="33">
        <f t="shared" si="15"/>
        <v>2.34</v>
      </c>
      <c r="AI12" s="42">
        <v>1.2</v>
      </c>
      <c r="AJ12" s="3">
        <v>1</v>
      </c>
      <c r="AK12" s="37">
        <f t="shared" si="16"/>
        <v>0.83333333333333337</v>
      </c>
      <c r="AL12" s="3">
        <v>1</v>
      </c>
      <c r="AM12" s="3">
        <v>1</v>
      </c>
      <c r="AN12" s="36" t="s">
        <v>175</v>
      </c>
      <c r="AO12" s="4"/>
      <c r="AP12" s="6">
        <v>46.8</v>
      </c>
      <c r="AQ12" s="6">
        <v>20</v>
      </c>
      <c r="AR12" s="33">
        <f t="shared" si="17"/>
        <v>2.34</v>
      </c>
      <c r="AS12" s="42">
        <v>1.2</v>
      </c>
      <c r="AT12" s="3">
        <v>1</v>
      </c>
      <c r="AU12" s="37">
        <f t="shared" si="18"/>
        <v>0.83333333333333337</v>
      </c>
      <c r="AV12" s="3">
        <v>1</v>
      </c>
      <c r="AW12" s="3">
        <v>1</v>
      </c>
      <c r="AX12" s="36" t="s">
        <v>175</v>
      </c>
      <c r="AY12" s="4"/>
      <c r="AZ12" s="6">
        <v>46.8</v>
      </c>
      <c r="BA12" s="6">
        <v>20</v>
      </c>
      <c r="BB12" s="33">
        <f t="shared" si="19"/>
        <v>2.34</v>
      </c>
      <c r="BC12" s="42">
        <v>1.2</v>
      </c>
      <c r="BD12" s="3">
        <v>1</v>
      </c>
      <c r="BE12" s="37">
        <f t="shared" si="20"/>
        <v>0.83333333333333337</v>
      </c>
      <c r="BF12" s="3">
        <v>1</v>
      </c>
      <c r="BG12" s="3">
        <v>1</v>
      </c>
      <c r="BH12" s="36" t="s">
        <v>175</v>
      </c>
      <c r="BI12" s="4"/>
      <c r="BJ12" s="6">
        <v>46.8</v>
      </c>
      <c r="BK12" s="6">
        <v>20</v>
      </c>
      <c r="BL12" s="33">
        <f t="shared" si="21"/>
        <v>2.34</v>
      </c>
      <c r="BM12" s="42">
        <v>1.2</v>
      </c>
      <c r="BN12" s="3">
        <v>1</v>
      </c>
      <c r="BO12" s="37">
        <f t="shared" si="22"/>
        <v>0.83333333333333337</v>
      </c>
      <c r="BP12" s="3">
        <v>1</v>
      </c>
      <c r="BQ12" s="3">
        <v>1</v>
      </c>
      <c r="BR12" s="36" t="s">
        <v>175</v>
      </c>
      <c r="BS12" s="4"/>
      <c r="BT12" s="6">
        <v>46.8</v>
      </c>
      <c r="BU12" s="6">
        <v>20</v>
      </c>
      <c r="BV12" s="33">
        <f t="shared" si="23"/>
        <v>2.34</v>
      </c>
      <c r="BW12" s="42">
        <v>1.2</v>
      </c>
      <c r="BX12" s="3">
        <v>1</v>
      </c>
      <c r="BY12" s="37">
        <f t="shared" si="24"/>
        <v>0.83333333333333337</v>
      </c>
      <c r="BZ12" s="3">
        <v>1</v>
      </c>
      <c r="CA12" s="3">
        <v>1</v>
      </c>
      <c r="CB12" s="36" t="s">
        <v>175</v>
      </c>
      <c r="CC12" s="4"/>
      <c r="CD12" s="6">
        <v>46.8</v>
      </c>
      <c r="CE12" s="6">
        <v>20</v>
      </c>
      <c r="CF12" s="33">
        <f t="shared" si="25"/>
        <v>2.34</v>
      </c>
      <c r="CG12" s="42">
        <v>1.2</v>
      </c>
      <c r="CH12" s="3">
        <v>1</v>
      </c>
      <c r="CI12" s="37">
        <f t="shared" si="26"/>
        <v>0.83333333333333337</v>
      </c>
      <c r="CJ12" s="3">
        <v>1</v>
      </c>
      <c r="CK12" s="3">
        <v>1</v>
      </c>
      <c r="CL12" s="36" t="s">
        <v>175</v>
      </c>
      <c r="CM12" s="4"/>
      <c r="CN12" s="6">
        <v>46.8</v>
      </c>
      <c r="CO12" s="6">
        <v>20</v>
      </c>
      <c r="CP12" s="33">
        <f t="shared" si="27"/>
        <v>2.34</v>
      </c>
      <c r="CQ12" s="42">
        <v>1.2</v>
      </c>
      <c r="CR12" s="3">
        <v>1</v>
      </c>
      <c r="CS12" s="37">
        <f t="shared" si="28"/>
        <v>0.83333333333333337</v>
      </c>
      <c r="CT12" s="3">
        <v>1</v>
      </c>
      <c r="CU12" s="3">
        <v>1</v>
      </c>
      <c r="CV12" s="36" t="s">
        <v>175</v>
      </c>
      <c r="CW12" s="4"/>
      <c r="CX12" s="6">
        <v>46.8</v>
      </c>
      <c r="CY12" s="6">
        <v>20</v>
      </c>
      <c r="CZ12" s="33">
        <f t="shared" si="29"/>
        <v>2.34</v>
      </c>
      <c r="DA12" s="42">
        <v>1.2</v>
      </c>
      <c r="DB12" s="3">
        <v>1</v>
      </c>
      <c r="DC12" s="37">
        <f t="shared" si="30"/>
        <v>0.83333333333333337</v>
      </c>
      <c r="DD12" s="3">
        <v>1</v>
      </c>
      <c r="DE12" s="3">
        <v>1</v>
      </c>
      <c r="DF12" s="36" t="s">
        <v>175</v>
      </c>
      <c r="DG12" s="4"/>
      <c r="DH12" s="6">
        <v>46.8</v>
      </c>
      <c r="DI12" s="6">
        <v>20</v>
      </c>
      <c r="DJ12" s="33">
        <f t="shared" si="31"/>
        <v>2.34</v>
      </c>
      <c r="DK12" s="42">
        <v>1.2</v>
      </c>
      <c r="DL12" s="3">
        <v>1</v>
      </c>
      <c r="DM12" s="37">
        <f t="shared" si="32"/>
        <v>0.83333333333333337</v>
      </c>
      <c r="DN12" s="3">
        <v>1</v>
      </c>
      <c r="DO12" s="3">
        <v>1</v>
      </c>
      <c r="DP12" s="36" t="s">
        <v>175</v>
      </c>
      <c r="DQ12" s="4"/>
      <c r="DR12" s="6">
        <v>46.8</v>
      </c>
      <c r="DS12" s="6">
        <v>20</v>
      </c>
      <c r="DT12" s="33">
        <f t="shared" si="33"/>
        <v>2.34</v>
      </c>
      <c r="DU12" s="42">
        <v>1.2</v>
      </c>
      <c r="DV12" s="3">
        <v>1</v>
      </c>
      <c r="DW12" s="37">
        <f t="shared" si="34"/>
        <v>0.83333333333333337</v>
      </c>
      <c r="DX12" s="3">
        <v>1</v>
      </c>
      <c r="DY12" s="3">
        <v>1</v>
      </c>
      <c r="DZ12" s="36" t="s">
        <v>175</v>
      </c>
      <c r="EA12" s="4"/>
      <c r="EB12" s="6">
        <v>46.8</v>
      </c>
      <c r="EC12" s="6">
        <v>20</v>
      </c>
      <c r="ED12" s="33">
        <f t="shared" si="35"/>
        <v>2.34</v>
      </c>
      <c r="EE12" s="42">
        <v>1.2</v>
      </c>
      <c r="EF12" s="3">
        <v>1</v>
      </c>
      <c r="EG12" s="37">
        <f t="shared" si="36"/>
        <v>0.83333333333333337</v>
      </c>
      <c r="EH12" s="3">
        <v>1</v>
      </c>
      <c r="EI12" s="3">
        <v>1</v>
      </c>
      <c r="EJ12" s="36" t="s">
        <v>175</v>
      </c>
      <c r="EK12" s="4"/>
      <c r="EL12" s="6">
        <v>46.8</v>
      </c>
      <c r="EM12" s="6">
        <v>20</v>
      </c>
      <c r="EN12" s="33">
        <f t="shared" si="37"/>
        <v>2.34</v>
      </c>
      <c r="EO12" s="42">
        <v>1.2</v>
      </c>
      <c r="EP12" s="3">
        <v>1</v>
      </c>
      <c r="EQ12" s="37">
        <f t="shared" si="38"/>
        <v>0.83333333333333337</v>
      </c>
      <c r="ER12" s="3">
        <v>1</v>
      </c>
      <c r="ES12" s="3">
        <v>1</v>
      </c>
    </row>
    <row r="13" spans="2:149" ht="42" customHeight="1">
      <c r="B13" s="27" t="s">
        <v>176</v>
      </c>
      <c r="C13" s="27" t="s">
        <v>177</v>
      </c>
      <c r="D13" s="28">
        <v>12</v>
      </c>
      <c r="E13" s="75" t="str">
        <f t="shared" si="0"/>
        <v>×</v>
      </c>
      <c r="F13" s="75" t="str">
        <f t="shared" si="1"/>
        <v>×</v>
      </c>
      <c r="G13" s="75" t="str">
        <f t="shared" si="2"/>
        <v>×</v>
      </c>
      <c r="H13" s="75" t="str">
        <f t="shared" si="3"/>
        <v>×</v>
      </c>
      <c r="I13" s="75" t="str">
        <f t="shared" si="4"/>
        <v>×</v>
      </c>
      <c r="J13" s="75" t="str">
        <f t="shared" si="5"/>
        <v>×</v>
      </c>
      <c r="K13" s="75" t="str">
        <f t="shared" si="6"/>
        <v>×</v>
      </c>
      <c r="L13" s="75" t="str">
        <f t="shared" si="7"/>
        <v>×</v>
      </c>
      <c r="M13" s="75" t="str">
        <f t="shared" si="8"/>
        <v>×</v>
      </c>
      <c r="N13" s="75" t="str">
        <f t="shared" si="9"/>
        <v>×</v>
      </c>
      <c r="O13" s="75" t="str">
        <f t="shared" si="10"/>
        <v>×</v>
      </c>
      <c r="P13" s="75" t="str">
        <f t="shared" si="11"/>
        <v>×</v>
      </c>
      <c r="Q13" s="76">
        <f t="shared" si="12"/>
        <v>0</v>
      </c>
      <c r="R13" s="28"/>
      <c r="S13" s="28"/>
      <c r="T13" s="28"/>
      <c r="U13" s="28"/>
      <c r="V13" s="77">
        <f t="shared" si="13"/>
        <v>0</v>
      </c>
      <c r="W13" s="77">
        <f t="shared" si="14"/>
        <v>0</v>
      </c>
      <c r="X13" s="77" cm="1">
        <f t="array" ref="X13">_xlfn.IFS(Q13&gt;=0.8,5,Q13&gt;=0.6,3,Q13&gt;=0.2,1,Q13&lt;0.2,0)</f>
        <v>0</v>
      </c>
      <c r="Y13" s="55">
        <f t="shared" si="39"/>
        <v>0</v>
      </c>
      <c r="Z13" s="5"/>
      <c r="AA13" s="5"/>
      <c r="AB13" s="14" t="s">
        <v>178</v>
      </c>
      <c r="AC13" s="29"/>
      <c r="AD13" s="36" t="s">
        <v>179</v>
      </c>
      <c r="AE13" s="4"/>
      <c r="AF13" s="6">
        <v>11.2</v>
      </c>
      <c r="AG13" s="6">
        <v>100</v>
      </c>
      <c r="AH13" s="33">
        <f t="shared" si="15"/>
        <v>0.11199999999999999</v>
      </c>
      <c r="AI13" s="42">
        <v>1.5</v>
      </c>
      <c r="AJ13" s="3">
        <v>20</v>
      </c>
      <c r="AK13" s="37">
        <f t="shared" si="16"/>
        <v>13.333333333333334</v>
      </c>
      <c r="AL13" s="3">
        <v>10</v>
      </c>
      <c r="AM13" s="3">
        <v>10</v>
      </c>
      <c r="AN13" s="36" t="s">
        <v>179</v>
      </c>
      <c r="AO13" s="4"/>
      <c r="AP13" s="6">
        <v>11.2</v>
      </c>
      <c r="AQ13" s="6">
        <v>100</v>
      </c>
      <c r="AR13" s="33">
        <f t="shared" si="17"/>
        <v>0.11199999999999999</v>
      </c>
      <c r="AS13" s="42">
        <v>1.5</v>
      </c>
      <c r="AT13" s="3">
        <v>20</v>
      </c>
      <c r="AU13" s="37">
        <f t="shared" si="18"/>
        <v>13.333333333333334</v>
      </c>
      <c r="AV13" s="3">
        <v>10</v>
      </c>
      <c r="AW13" s="3">
        <v>10</v>
      </c>
      <c r="AX13" s="36" t="s">
        <v>179</v>
      </c>
      <c r="AY13" s="4"/>
      <c r="AZ13" s="6">
        <v>11.2</v>
      </c>
      <c r="BA13" s="6">
        <v>100</v>
      </c>
      <c r="BB13" s="33">
        <f t="shared" si="19"/>
        <v>0.11199999999999999</v>
      </c>
      <c r="BC13" s="42">
        <v>1.5</v>
      </c>
      <c r="BD13" s="3">
        <v>20</v>
      </c>
      <c r="BE13" s="37">
        <f t="shared" si="20"/>
        <v>13.333333333333334</v>
      </c>
      <c r="BF13" s="3">
        <v>10</v>
      </c>
      <c r="BG13" s="3">
        <v>10</v>
      </c>
      <c r="BH13" s="36" t="s">
        <v>179</v>
      </c>
      <c r="BI13" s="4"/>
      <c r="BJ13" s="6">
        <v>11.2</v>
      </c>
      <c r="BK13" s="6">
        <v>100</v>
      </c>
      <c r="BL13" s="33">
        <f t="shared" si="21"/>
        <v>0.11199999999999999</v>
      </c>
      <c r="BM13" s="42">
        <v>1.5</v>
      </c>
      <c r="BN13" s="3">
        <v>20</v>
      </c>
      <c r="BO13" s="37">
        <f t="shared" si="22"/>
        <v>13.333333333333334</v>
      </c>
      <c r="BP13" s="3">
        <v>10</v>
      </c>
      <c r="BQ13" s="3">
        <v>10</v>
      </c>
      <c r="BR13" s="36" t="s">
        <v>179</v>
      </c>
      <c r="BS13" s="4"/>
      <c r="BT13" s="6">
        <v>11.2</v>
      </c>
      <c r="BU13" s="6">
        <v>100</v>
      </c>
      <c r="BV13" s="33">
        <f t="shared" si="23"/>
        <v>0.11199999999999999</v>
      </c>
      <c r="BW13" s="42">
        <v>1.5</v>
      </c>
      <c r="BX13" s="3">
        <v>20</v>
      </c>
      <c r="BY13" s="37">
        <f t="shared" si="24"/>
        <v>13.333333333333334</v>
      </c>
      <c r="BZ13" s="3">
        <v>10</v>
      </c>
      <c r="CA13" s="3">
        <v>10</v>
      </c>
      <c r="CB13" s="36" t="s">
        <v>179</v>
      </c>
      <c r="CC13" s="4"/>
      <c r="CD13" s="6">
        <v>11.2</v>
      </c>
      <c r="CE13" s="6">
        <v>100</v>
      </c>
      <c r="CF13" s="33">
        <f t="shared" si="25"/>
        <v>0.11199999999999999</v>
      </c>
      <c r="CG13" s="42">
        <v>1.5</v>
      </c>
      <c r="CH13" s="3">
        <v>20</v>
      </c>
      <c r="CI13" s="37">
        <f t="shared" si="26"/>
        <v>13.333333333333334</v>
      </c>
      <c r="CJ13" s="3">
        <v>10</v>
      </c>
      <c r="CK13" s="3">
        <v>10</v>
      </c>
      <c r="CL13" s="36" t="s">
        <v>179</v>
      </c>
      <c r="CM13" s="4"/>
      <c r="CN13" s="6">
        <v>11.2</v>
      </c>
      <c r="CO13" s="6">
        <v>100</v>
      </c>
      <c r="CP13" s="33">
        <f t="shared" si="27"/>
        <v>0.11199999999999999</v>
      </c>
      <c r="CQ13" s="42">
        <v>1.5</v>
      </c>
      <c r="CR13" s="3">
        <v>20</v>
      </c>
      <c r="CS13" s="37">
        <f t="shared" si="28"/>
        <v>13.333333333333334</v>
      </c>
      <c r="CT13" s="3">
        <v>10</v>
      </c>
      <c r="CU13" s="3">
        <v>10</v>
      </c>
      <c r="CV13" s="36" t="s">
        <v>179</v>
      </c>
      <c r="CW13" s="4"/>
      <c r="CX13" s="6">
        <v>11.2</v>
      </c>
      <c r="CY13" s="6">
        <v>100</v>
      </c>
      <c r="CZ13" s="33">
        <f t="shared" si="29"/>
        <v>0.11199999999999999</v>
      </c>
      <c r="DA13" s="42">
        <v>1.5</v>
      </c>
      <c r="DB13" s="3">
        <v>20</v>
      </c>
      <c r="DC13" s="37">
        <f t="shared" si="30"/>
        <v>13.333333333333334</v>
      </c>
      <c r="DD13" s="3">
        <v>10</v>
      </c>
      <c r="DE13" s="3">
        <v>10</v>
      </c>
      <c r="DF13" s="36" t="s">
        <v>179</v>
      </c>
      <c r="DG13" s="4"/>
      <c r="DH13" s="6">
        <v>11.2</v>
      </c>
      <c r="DI13" s="6">
        <v>100</v>
      </c>
      <c r="DJ13" s="33">
        <f t="shared" si="31"/>
        <v>0.11199999999999999</v>
      </c>
      <c r="DK13" s="42">
        <v>1.5</v>
      </c>
      <c r="DL13" s="3">
        <v>20</v>
      </c>
      <c r="DM13" s="37">
        <f t="shared" si="32"/>
        <v>13.333333333333334</v>
      </c>
      <c r="DN13" s="3">
        <v>10</v>
      </c>
      <c r="DO13" s="3">
        <v>10</v>
      </c>
      <c r="DP13" s="36" t="s">
        <v>179</v>
      </c>
      <c r="DQ13" s="4"/>
      <c r="DR13" s="6">
        <v>11.2</v>
      </c>
      <c r="DS13" s="6">
        <v>100</v>
      </c>
      <c r="DT13" s="33">
        <f t="shared" si="33"/>
        <v>0.11199999999999999</v>
      </c>
      <c r="DU13" s="42">
        <v>1.5</v>
      </c>
      <c r="DV13" s="3">
        <v>20</v>
      </c>
      <c r="DW13" s="37">
        <f t="shared" si="34"/>
        <v>13.333333333333334</v>
      </c>
      <c r="DX13" s="3">
        <v>10</v>
      </c>
      <c r="DY13" s="3">
        <v>10</v>
      </c>
      <c r="DZ13" s="36" t="s">
        <v>179</v>
      </c>
      <c r="EA13" s="4"/>
      <c r="EB13" s="6">
        <v>11.2</v>
      </c>
      <c r="EC13" s="6">
        <v>100</v>
      </c>
      <c r="ED13" s="33">
        <f t="shared" si="35"/>
        <v>0.11199999999999999</v>
      </c>
      <c r="EE13" s="42">
        <v>1.5</v>
      </c>
      <c r="EF13" s="3">
        <v>20</v>
      </c>
      <c r="EG13" s="37">
        <f t="shared" si="36"/>
        <v>13.333333333333334</v>
      </c>
      <c r="EH13" s="3">
        <v>10</v>
      </c>
      <c r="EI13" s="3">
        <v>10</v>
      </c>
      <c r="EJ13" s="36" t="s">
        <v>179</v>
      </c>
      <c r="EK13" s="4"/>
      <c r="EL13" s="6">
        <v>11.2</v>
      </c>
      <c r="EM13" s="6">
        <v>100</v>
      </c>
      <c r="EN13" s="33">
        <f t="shared" si="37"/>
        <v>0.11199999999999999</v>
      </c>
      <c r="EO13" s="42">
        <v>1.5</v>
      </c>
      <c r="EP13" s="3">
        <v>20</v>
      </c>
      <c r="EQ13" s="37">
        <f t="shared" si="38"/>
        <v>13.333333333333334</v>
      </c>
      <c r="ER13" s="3">
        <v>10</v>
      </c>
      <c r="ES13" s="3">
        <v>10</v>
      </c>
    </row>
    <row r="14" spans="2:149" ht="42" customHeight="1">
      <c r="B14" s="3"/>
      <c r="C14" s="3"/>
      <c r="D14" s="4"/>
      <c r="E14" s="75" t="str">
        <f t="shared" si="0"/>
        <v>×</v>
      </c>
      <c r="F14" s="75" t="str">
        <f t="shared" si="1"/>
        <v>×</v>
      </c>
      <c r="G14" s="75" t="str">
        <f t="shared" si="2"/>
        <v>×</v>
      </c>
      <c r="H14" s="75" t="str">
        <f t="shared" si="3"/>
        <v>×</v>
      </c>
      <c r="I14" s="75" t="str">
        <f t="shared" si="4"/>
        <v>×</v>
      </c>
      <c r="J14" s="75" t="str">
        <f t="shared" si="5"/>
        <v>×</v>
      </c>
      <c r="K14" s="75" t="str">
        <f t="shared" si="6"/>
        <v>×</v>
      </c>
      <c r="L14" s="75" t="str">
        <f t="shared" si="7"/>
        <v>×</v>
      </c>
      <c r="M14" s="75" t="str">
        <f t="shared" si="8"/>
        <v>×</v>
      </c>
      <c r="N14" s="75" t="str">
        <f t="shared" si="9"/>
        <v>×</v>
      </c>
      <c r="O14" s="75" t="str">
        <f t="shared" si="10"/>
        <v>×</v>
      </c>
      <c r="P14" s="75" t="str">
        <f t="shared" si="11"/>
        <v>×</v>
      </c>
      <c r="Q14" s="76" t="e">
        <f t="shared" si="12"/>
        <v>#DIV/0!</v>
      </c>
      <c r="R14" s="4"/>
      <c r="S14" s="4"/>
      <c r="T14" s="4"/>
      <c r="U14" s="4"/>
      <c r="V14" s="77" t="e">
        <f t="shared" si="13"/>
        <v>#DIV/0!</v>
      </c>
      <c r="W14" s="77" t="e">
        <f t="shared" si="14"/>
        <v>#DIV/0!</v>
      </c>
      <c r="X14" s="77" t="e" cm="1">
        <f t="array" ref="X14">_xlfn.IFS(Q14&gt;=0.8,5,Q14&gt;=0.6,3,Q14&gt;=0.2,1,Q14&lt;0.2,0)</f>
        <v>#DIV/0!</v>
      </c>
      <c r="Y14" s="55" t="e">
        <f t="shared" si="39"/>
        <v>#DIV/0!</v>
      </c>
      <c r="Z14" s="5"/>
      <c r="AA14" s="5"/>
      <c r="AB14" s="14"/>
      <c r="AC14" s="29"/>
      <c r="AD14" s="4"/>
      <c r="AE14" s="4"/>
      <c r="AF14" s="6"/>
      <c r="AG14" s="6"/>
      <c r="AH14" s="33" t="str">
        <f t="shared" si="15"/>
        <v/>
      </c>
      <c r="AI14" s="42"/>
      <c r="AJ14" s="3"/>
      <c r="AK14" s="37" t="str">
        <f t="shared" si="16"/>
        <v/>
      </c>
      <c r="AL14" s="3"/>
      <c r="AM14" s="3"/>
      <c r="AN14" s="4"/>
      <c r="AO14" s="4"/>
      <c r="AP14" s="6"/>
      <c r="AQ14" s="6"/>
      <c r="AR14" s="33" t="str">
        <f t="shared" si="17"/>
        <v/>
      </c>
      <c r="AS14" s="42"/>
      <c r="AT14" s="3"/>
      <c r="AU14" s="37" t="str">
        <f t="shared" si="18"/>
        <v/>
      </c>
      <c r="AV14" s="3"/>
      <c r="AW14" s="3"/>
      <c r="AX14" s="4"/>
      <c r="AY14" s="4"/>
      <c r="AZ14" s="6"/>
      <c r="BA14" s="6"/>
      <c r="BB14" s="33" t="str">
        <f t="shared" si="19"/>
        <v/>
      </c>
      <c r="BC14" s="42"/>
      <c r="BD14" s="3"/>
      <c r="BE14" s="37" t="str">
        <f t="shared" si="20"/>
        <v/>
      </c>
      <c r="BF14" s="3"/>
      <c r="BG14" s="3"/>
      <c r="BH14" s="4"/>
      <c r="BI14" s="4"/>
      <c r="BJ14" s="6"/>
      <c r="BK14" s="6"/>
      <c r="BL14" s="33" t="str">
        <f t="shared" si="21"/>
        <v/>
      </c>
      <c r="BM14" s="42"/>
      <c r="BN14" s="3"/>
      <c r="BO14" s="37" t="str">
        <f t="shared" si="22"/>
        <v/>
      </c>
      <c r="BP14" s="3"/>
      <c r="BQ14" s="3"/>
      <c r="BR14" s="4"/>
      <c r="BS14" s="4"/>
      <c r="BT14" s="6"/>
      <c r="BU14" s="6"/>
      <c r="BV14" s="33" t="str">
        <f t="shared" si="23"/>
        <v/>
      </c>
      <c r="BW14" s="42"/>
      <c r="BX14" s="3"/>
      <c r="BY14" s="37" t="str">
        <f t="shared" si="24"/>
        <v/>
      </c>
      <c r="BZ14" s="3"/>
      <c r="CA14" s="3"/>
      <c r="CB14" s="4"/>
      <c r="CC14" s="4"/>
      <c r="CD14" s="6"/>
      <c r="CE14" s="6"/>
      <c r="CF14" s="33" t="str">
        <f t="shared" si="25"/>
        <v/>
      </c>
      <c r="CG14" s="42"/>
      <c r="CH14" s="3"/>
      <c r="CI14" s="37" t="str">
        <f t="shared" si="26"/>
        <v/>
      </c>
      <c r="CJ14" s="3"/>
      <c r="CK14" s="3"/>
      <c r="CL14" s="4"/>
      <c r="CM14" s="4"/>
      <c r="CN14" s="6"/>
      <c r="CO14" s="6"/>
      <c r="CP14" s="33" t="str">
        <f t="shared" si="27"/>
        <v/>
      </c>
      <c r="CQ14" s="42"/>
      <c r="CR14" s="3"/>
      <c r="CS14" s="37" t="str">
        <f t="shared" si="28"/>
        <v/>
      </c>
      <c r="CT14" s="3"/>
      <c r="CU14" s="3"/>
      <c r="CV14" s="4"/>
      <c r="CW14" s="4"/>
      <c r="CX14" s="6"/>
      <c r="CY14" s="6"/>
      <c r="CZ14" s="33" t="str">
        <f t="shared" si="29"/>
        <v/>
      </c>
      <c r="DA14" s="42"/>
      <c r="DB14" s="3"/>
      <c r="DC14" s="37" t="str">
        <f t="shared" si="30"/>
        <v/>
      </c>
      <c r="DD14" s="3"/>
      <c r="DE14" s="3"/>
      <c r="DF14" s="4"/>
      <c r="DG14" s="4"/>
      <c r="DH14" s="6"/>
      <c r="DI14" s="6"/>
      <c r="DJ14" s="33" t="str">
        <f t="shared" si="31"/>
        <v/>
      </c>
      <c r="DK14" s="42"/>
      <c r="DL14" s="3"/>
      <c r="DM14" s="37" t="str">
        <f t="shared" si="32"/>
        <v/>
      </c>
      <c r="DN14" s="3"/>
      <c r="DO14" s="3"/>
      <c r="DP14" s="4"/>
      <c r="DQ14" s="4"/>
      <c r="DR14" s="6"/>
      <c r="DS14" s="6"/>
      <c r="DT14" s="33" t="str">
        <f t="shared" si="33"/>
        <v/>
      </c>
      <c r="DU14" s="42"/>
      <c r="DV14" s="3"/>
      <c r="DW14" s="37" t="str">
        <f t="shared" si="34"/>
        <v/>
      </c>
      <c r="DX14" s="3"/>
      <c r="DY14" s="3"/>
      <c r="DZ14" s="4"/>
      <c r="EA14" s="4"/>
      <c r="EB14" s="6"/>
      <c r="EC14" s="6"/>
      <c r="ED14" s="33" t="str">
        <f t="shared" si="35"/>
        <v/>
      </c>
      <c r="EE14" s="42"/>
      <c r="EF14" s="3"/>
      <c r="EG14" s="37" t="str">
        <f t="shared" si="36"/>
        <v/>
      </c>
      <c r="EH14" s="3"/>
      <c r="EI14" s="3"/>
      <c r="EJ14" s="4"/>
      <c r="EK14" s="4"/>
      <c r="EL14" s="6"/>
      <c r="EM14" s="6"/>
      <c r="EN14" s="33" t="str">
        <f t="shared" si="37"/>
        <v/>
      </c>
      <c r="EO14" s="42"/>
      <c r="EP14" s="3"/>
      <c r="EQ14" s="37" t="str">
        <f t="shared" si="38"/>
        <v/>
      </c>
      <c r="ER14" s="3"/>
      <c r="ES14" s="3"/>
    </row>
    <row r="15" spans="2:149" ht="42" customHeight="1">
      <c r="B15" s="3"/>
      <c r="C15" s="3"/>
      <c r="D15" s="4"/>
      <c r="E15" s="75" t="str">
        <f t="shared" si="0"/>
        <v>×</v>
      </c>
      <c r="F15" s="75" t="str">
        <f t="shared" si="1"/>
        <v>×</v>
      </c>
      <c r="G15" s="75" t="str">
        <f t="shared" si="2"/>
        <v>×</v>
      </c>
      <c r="H15" s="75" t="str">
        <f t="shared" si="3"/>
        <v>×</v>
      </c>
      <c r="I15" s="75" t="str">
        <f t="shared" si="4"/>
        <v>×</v>
      </c>
      <c r="J15" s="75" t="str">
        <f t="shared" si="5"/>
        <v>×</v>
      </c>
      <c r="K15" s="75" t="str">
        <f t="shared" si="6"/>
        <v>×</v>
      </c>
      <c r="L15" s="75" t="str">
        <f t="shared" si="7"/>
        <v>×</v>
      </c>
      <c r="M15" s="75" t="str">
        <f t="shared" si="8"/>
        <v>×</v>
      </c>
      <c r="N15" s="75" t="str">
        <f t="shared" si="9"/>
        <v>×</v>
      </c>
      <c r="O15" s="75" t="str">
        <f t="shared" si="10"/>
        <v>×</v>
      </c>
      <c r="P15" s="75" t="str">
        <f t="shared" si="11"/>
        <v>×</v>
      </c>
      <c r="Q15" s="76" t="e">
        <f t="shared" si="12"/>
        <v>#DIV/0!</v>
      </c>
      <c r="R15" s="4"/>
      <c r="S15" s="4"/>
      <c r="T15" s="4"/>
      <c r="U15" s="4"/>
      <c r="V15" s="77" t="e">
        <f t="shared" si="13"/>
        <v>#DIV/0!</v>
      </c>
      <c r="W15" s="77" t="e">
        <f t="shared" si="14"/>
        <v>#DIV/0!</v>
      </c>
      <c r="X15" s="77" t="e" cm="1">
        <f t="array" ref="X15">_xlfn.IFS(Q15&gt;=0.8,5,Q15&gt;=0.6,3,Q15&gt;=0.2,1,Q15&lt;0.2,0)</f>
        <v>#DIV/0!</v>
      </c>
      <c r="Y15" s="55" t="e">
        <f t="shared" si="39"/>
        <v>#DIV/0!</v>
      </c>
      <c r="Z15" s="5"/>
      <c r="AA15" s="5"/>
      <c r="AB15" s="14"/>
      <c r="AC15" s="29"/>
      <c r="AD15" s="4"/>
      <c r="AE15" s="4"/>
      <c r="AF15" s="6"/>
      <c r="AG15" s="6"/>
      <c r="AH15" s="33" t="str">
        <f t="shared" si="15"/>
        <v/>
      </c>
      <c r="AI15" s="42"/>
      <c r="AJ15" s="3"/>
      <c r="AK15" s="37" t="str">
        <f t="shared" si="16"/>
        <v/>
      </c>
      <c r="AL15" s="3"/>
      <c r="AM15" s="3"/>
      <c r="AN15" s="4"/>
      <c r="AO15" s="4"/>
      <c r="AP15" s="6"/>
      <c r="AQ15" s="6"/>
      <c r="AR15" s="33" t="str">
        <f t="shared" si="17"/>
        <v/>
      </c>
      <c r="AS15" s="42"/>
      <c r="AT15" s="3"/>
      <c r="AU15" s="37" t="str">
        <f t="shared" si="18"/>
        <v/>
      </c>
      <c r="AV15" s="3"/>
      <c r="AW15" s="3"/>
      <c r="AX15" s="4"/>
      <c r="AY15" s="4"/>
      <c r="AZ15" s="6"/>
      <c r="BA15" s="6"/>
      <c r="BB15" s="33" t="str">
        <f t="shared" si="19"/>
        <v/>
      </c>
      <c r="BC15" s="42"/>
      <c r="BD15" s="3"/>
      <c r="BE15" s="37" t="str">
        <f t="shared" si="20"/>
        <v/>
      </c>
      <c r="BF15" s="3"/>
      <c r="BG15" s="3"/>
      <c r="BH15" s="4"/>
      <c r="BI15" s="4"/>
      <c r="BJ15" s="6"/>
      <c r="BK15" s="6"/>
      <c r="BL15" s="33" t="str">
        <f t="shared" si="21"/>
        <v/>
      </c>
      <c r="BM15" s="42"/>
      <c r="BN15" s="3"/>
      <c r="BO15" s="37" t="str">
        <f t="shared" si="22"/>
        <v/>
      </c>
      <c r="BP15" s="3"/>
      <c r="BQ15" s="3"/>
      <c r="BR15" s="4"/>
      <c r="BS15" s="4"/>
      <c r="BT15" s="6"/>
      <c r="BU15" s="6"/>
      <c r="BV15" s="33" t="str">
        <f t="shared" si="23"/>
        <v/>
      </c>
      <c r="BW15" s="42"/>
      <c r="BX15" s="3"/>
      <c r="BY15" s="37" t="str">
        <f t="shared" si="24"/>
        <v/>
      </c>
      <c r="BZ15" s="3"/>
      <c r="CA15" s="3"/>
      <c r="CB15" s="4"/>
      <c r="CC15" s="4"/>
      <c r="CD15" s="6"/>
      <c r="CE15" s="6"/>
      <c r="CF15" s="33" t="str">
        <f t="shared" si="25"/>
        <v/>
      </c>
      <c r="CG15" s="42"/>
      <c r="CH15" s="3"/>
      <c r="CI15" s="37" t="str">
        <f t="shared" si="26"/>
        <v/>
      </c>
      <c r="CJ15" s="3"/>
      <c r="CK15" s="3"/>
      <c r="CL15" s="4"/>
      <c r="CM15" s="4"/>
      <c r="CN15" s="6"/>
      <c r="CO15" s="6"/>
      <c r="CP15" s="33" t="str">
        <f t="shared" si="27"/>
        <v/>
      </c>
      <c r="CQ15" s="42"/>
      <c r="CR15" s="3"/>
      <c r="CS15" s="37" t="str">
        <f t="shared" si="28"/>
        <v/>
      </c>
      <c r="CT15" s="3"/>
      <c r="CU15" s="3"/>
      <c r="CV15" s="4"/>
      <c r="CW15" s="4"/>
      <c r="CX15" s="6"/>
      <c r="CY15" s="6"/>
      <c r="CZ15" s="33" t="str">
        <f t="shared" si="29"/>
        <v/>
      </c>
      <c r="DA15" s="42"/>
      <c r="DB15" s="3"/>
      <c r="DC15" s="37" t="str">
        <f t="shared" si="30"/>
        <v/>
      </c>
      <c r="DD15" s="3"/>
      <c r="DE15" s="3"/>
      <c r="DF15" s="4"/>
      <c r="DG15" s="4"/>
      <c r="DH15" s="6"/>
      <c r="DI15" s="6"/>
      <c r="DJ15" s="33" t="str">
        <f t="shared" si="31"/>
        <v/>
      </c>
      <c r="DK15" s="42"/>
      <c r="DL15" s="3"/>
      <c r="DM15" s="37" t="str">
        <f t="shared" si="32"/>
        <v/>
      </c>
      <c r="DN15" s="3"/>
      <c r="DO15" s="3"/>
      <c r="DP15" s="4"/>
      <c r="DQ15" s="4"/>
      <c r="DR15" s="6"/>
      <c r="DS15" s="6"/>
      <c r="DT15" s="33" t="str">
        <f t="shared" si="33"/>
        <v/>
      </c>
      <c r="DU15" s="42"/>
      <c r="DV15" s="3"/>
      <c r="DW15" s="37" t="str">
        <f t="shared" si="34"/>
        <v/>
      </c>
      <c r="DX15" s="3"/>
      <c r="DY15" s="3"/>
      <c r="DZ15" s="4"/>
      <c r="EA15" s="4"/>
      <c r="EB15" s="6"/>
      <c r="EC15" s="6"/>
      <c r="ED15" s="33" t="str">
        <f t="shared" si="35"/>
        <v/>
      </c>
      <c r="EE15" s="42"/>
      <c r="EF15" s="3"/>
      <c r="EG15" s="37" t="str">
        <f t="shared" si="36"/>
        <v/>
      </c>
      <c r="EH15" s="3"/>
      <c r="EI15" s="3"/>
      <c r="EJ15" s="4"/>
      <c r="EK15" s="4"/>
      <c r="EL15" s="6"/>
      <c r="EM15" s="6"/>
      <c r="EN15" s="33" t="str">
        <f t="shared" si="37"/>
        <v/>
      </c>
      <c r="EO15" s="42"/>
      <c r="EP15" s="3"/>
      <c r="EQ15" s="37" t="str">
        <f t="shared" si="38"/>
        <v/>
      </c>
      <c r="ER15" s="3"/>
      <c r="ES15" s="3"/>
    </row>
    <row r="16" spans="2:149" ht="42" customHeight="1">
      <c r="B16" s="3"/>
      <c r="C16" s="3"/>
      <c r="D16" s="4"/>
      <c r="E16" s="75" t="str">
        <f t="shared" si="0"/>
        <v>×</v>
      </c>
      <c r="F16" s="75" t="str">
        <f t="shared" si="1"/>
        <v>×</v>
      </c>
      <c r="G16" s="75" t="str">
        <f t="shared" si="2"/>
        <v>×</v>
      </c>
      <c r="H16" s="75" t="str">
        <f t="shared" si="3"/>
        <v>×</v>
      </c>
      <c r="I16" s="75" t="str">
        <f t="shared" si="4"/>
        <v>×</v>
      </c>
      <c r="J16" s="75" t="str">
        <f t="shared" si="5"/>
        <v>×</v>
      </c>
      <c r="K16" s="75" t="str">
        <f t="shared" si="6"/>
        <v>×</v>
      </c>
      <c r="L16" s="75" t="str">
        <f t="shared" si="7"/>
        <v>×</v>
      </c>
      <c r="M16" s="75" t="str">
        <f t="shared" si="8"/>
        <v>×</v>
      </c>
      <c r="N16" s="75" t="str">
        <f t="shared" si="9"/>
        <v>×</v>
      </c>
      <c r="O16" s="75" t="str">
        <f t="shared" si="10"/>
        <v>×</v>
      </c>
      <c r="P16" s="75" t="str">
        <f t="shared" si="11"/>
        <v>×</v>
      </c>
      <c r="Q16" s="76" t="e">
        <f t="shared" si="12"/>
        <v>#DIV/0!</v>
      </c>
      <c r="R16" s="4"/>
      <c r="S16" s="4"/>
      <c r="T16" s="4"/>
      <c r="U16" s="4"/>
      <c r="V16" s="77" t="e">
        <f t="shared" si="13"/>
        <v>#DIV/0!</v>
      </c>
      <c r="W16" s="77" t="e">
        <f t="shared" si="14"/>
        <v>#DIV/0!</v>
      </c>
      <c r="X16" s="77" t="e" cm="1">
        <f t="array" ref="X16">_xlfn.IFS(Q16&gt;=0.8,5,Q16&gt;=0.6,3,Q16&gt;=0.2,1,Q16&lt;0.2,0)</f>
        <v>#DIV/0!</v>
      </c>
      <c r="Y16" s="55" t="e">
        <f t="shared" si="39"/>
        <v>#DIV/0!</v>
      </c>
      <c r="Z16" s="5"/>
      <c r="AA16" s="5"/>
      <c r="AB16" s="14"/>
      <c r="AC16" s="29"/>
      <c r="AD16" s="4"/>
      <c r="AE16" s="4"/>
      <c r="AF16" s="6"/>
      <c r="AG16" s="6"/>
      <c r="AH16" s="33" t="str">
        <f t="shared" si="15"/>
        <v/>
      </c>
      <c r="AI16" s="42"/>
      <c r="AJ16" s="3"/>
      <c r="AK16" s="37" t="str">
        <f t="shared" si="16"/>
        <v/>
      </c>
      <c r="AL16" s="3"/>
      <c r="AM16" s="3"/>
      <c r="AN16" s="4"/>
      <c r="AO16" s="4"/>
      <c r="AP16" s="6"/>
      <c r="AQ16" s="6"/>
      <c r="AR16" s="33" t="str">
        <f t="shared" si="17"/>
        <v/>
      </c>
      <c r="AS16" s="42"/>
      <c r="AT16" s="3"/>
      <c r="AU16" s="37" t="str">
        <f t="shared" si="18"/>
        <v/>
      </c>
      <c r="AV16" s="3"/>
      <c r="AW16" s="3"/>
      <c r="AX16" s="4"/>
      <c r="AY16" s="4"/>
      <c r="AZ16" s="6"/>
      <c r="BA16" s="6"/>
      <c r="BB16" s="33" t="str">
        <f t="shared" si="19"/>
        <v/>
      </c>
      <c r="BC16" s="42"/>
      <c r="BD16" s="3"/>
      <c r="BE16" s="37" t="str">
        <f t="shared" si="20"/>
        <v/>
      </c>
      <c r="BF16" s="3"/>
      <c r="BG16" s="3"/>
      <c r="BH16" s="4"/>
      <c r="BI16" s="4"/>
      <c r="BJ16" s="6"/>
      <c r="BK16" s="6"/>
      <c r="BL16" s="33" t="str">
        <f t="shared" si="21"/>
        <v/>
      </c>
      <c r="BM16" s="42"/>
      <c r="BN16" s="3"/>
      <c r="BO16" s="37" t="str">
        <f t="shared" si="22"/>
        <v/>
      </c>
      <c r="BP16" s="3"/>
      <c r="BQ16" s="3"/>
      <c r="BR16" s="4"/>
      <c r="BS16" s="4"/>
      <c r="BT16" s="6"/>
      <c r="BU16" s="6"/>
      <c r="BV16" s="33" t="str">
        <f t="shared" si="23"/>
        <v/>
      </c>
      <c r="BW16" s="42"/>
      <c r="BX16" s="3"/>
      <c r="BY16" s="37" t="str">
        <f t="shared" si="24"/>
        <v/>
      </c>
      <c r="BZ16" s="3"/>
      <c r="CA16" s="3"/>
      <c r="CB16" s="4"/>
      <c r="CC16" s="4"/>
      <c r="CD16" s="6"/>
      <c r="CE16" s="6"/>
      <c r="CF16" s="33" t="str">
        <f t="shared" si="25"/>
        <v/>
      </c>
      <c r="CG16" s="42"/>
      <c r="CH16" s="3"/>
      <c r="CI16" s="37" t="str">
        <f t="shared" si="26"/>
        <v/>
      </c>
      <c r="CJ16" s="3"/>
      <c r="CK16" s="3"/>
      <c r="CL16" s="4"/>
      <c r="CM16" s="4"/>
      <c r="CN16" s="6"/>
      <c r="CO16" s="6"/>
      <c r="CP16" s="33" t="str">
        <f t="shared" si="27"/>
        <v/>
      </c>
      <c r="CQ16" s="42"/>
      <c r="CR16" s="3"/>
      <c r="CS16" s="37" t="str">
        <f t="shared" si="28"/>
        <v/>
      </c>
      <c r="CT16" s="3"/>
      <c r="CU16" s="3"/>
      <c r="CV16" s="4"/>
      <c r="CW16" s="4"/>
      <c r="CX16" s="6"/>
      <c r="CY16" s="6"/>
      <c r="CZ16" s="33" t="str">
        <f t="shared" si="29"/>
        <v/>
      </c>
      <c r="DA16" s="42"/>
      <c r="DB16" s="3"/>
      <c r="DC16" s="37" t="str">
        <f t="shared" si="30"/>
        <v/>
      </c>
      <c r="DD16" s="3"/>
      <c r="DE16" s="3"/>
      <c r="DF16" s="4"/>
      <c r="DG16" s="4"/>
      <c r="DH16" s="6"/>
      <c r="DI16" s="6"/>
      <c r="DJ16" s="33" t="str">
        <f t="shared" si="31"/>
        <v/>
      </c>
      <c r="DK16" s="42"/>
      <c r="DL16" s="3"/>
      <c r="DM16" s="37" t="str">
        <f t="shared" si="32"/>
        <v/>
      </c>
      <c r="DN16" s="3"/>
      <c r="DO16" s="3"/>
      <c r="DP16" s="4"/>
      <c r="DQ16" s="4"/>
      <c r="DR16" s="6"/>
      <c r="DS16" s="6"/>
      <c r="DT16" s="33" t="str">
        <f t="shared" si="33"/>
        <v/>
      </c>
      <c r="DU16" s="42"/>
      <c r="DV16" s="3"/>
      <c r="DW16" s="37" t="str">
        <f t="shared" si="34"/>
        <v/>
      </c>
      <c r="DX16" s="3"/>
      <c r="DY16" s="3"/>
      <c r="DZ16" s="4"/>
      <c r="EA16" s="4"/>
      <c r="EB16" s="6"/>
      <c r="EC16" s="6"/>
      <c r="ED16" s="33" t="str">
        <f t="shared" si="35"/>
        <v/>
      </c>
      <c r="EE16" s="42"/>
      <c r="EF16" s="3"/>
      <c r="EG16" s="37" t="str">
        <f t="shared" si="36"/>
        <v/>
      </c>
      <c r="EH16" s="3"/>
      <c r="EI16" s="3"/>
      <c r="EJ16" s="4"/>
      <c r="EK16" s="4"/>
      <c r="EL16" s="6"/>
      <c r="EM16" s="6"/>
      <c r="EN16" s="33" t="str">
        <f t="shared" si="37"/>
        <v/>
      </c>
      <c r="EO16" s="42"/>
      <c r="EP16" s="3"/>
      <c r="EQ16" s="37" t="str">
        <f t="shared" si="38"/>
        <v/>
      </c>
      <c r="ER16" s="3"/>
      <c r="ES16" s="3"/>
    </row>
    <row r="17" spans="2:149" ht="42" customHeight="1">
      <c r="B17" s="3"/>
      <c r="C17" s="3"/>
      <c r="D17" s="4"/>
      <c r="E17" s="75" t="str">
        <f t="shared" si="0"/>
        <v>×</v>
      </c>
      <c r="F17" s="75" t="str">
        <f t="shared" si="1"/>
        <v>×</v>
      </c>
      <c r="G17" s="75" t="str">
        <f t="shared" si="2"/>
        <v>×</v>
      </c>
      <c r="H17" s="75" t="str">
        <f t="shared" si="3"/>
        <v>×</v>
      </c>
      <c r="I17" s="75" t="str">
        <f t="shared" si="4"/>
        <v>×</v>
      </c>
      <c r="J17" s="75" t="str">
        <f t="shared" si="5"/>
        <v>×</v>
      </c>
      <c r="K17" s="75" t="str">
        <f t="shared" si="6"/>
        <v>×</v>
      </c>
      <c r="L17" s="75" t="str">
        <f t="shared" si="7"/>
        <v>×</v>
      </c>
      <c r="M17" s="75" t="str">
        <f t="shared" si="8"/>
        <v>×</v>
      </c>
      <c r="N17" s="75" t="str">
        <f t="shared" si="9"/>
        <v>×</v>
      </c>
      <c r="O17" s="75" t="str">
        <f t="shared" si="10"/>
        <v>×</v>
      </c>
      <c r="P17" s="75" t="str">
        <f t="shared" si="11"/>
        <v>×</v>
      </c>
      <c r="Q17" s="76" t="e">
        <f t="shared" si="12"/>
        <v>#DIV/0!</v>
      </c>
      <c r="R17" s="4"/>
      <c r="S17" s="4"/>
      <c r="T17" s="4"/>
      <c r="U17" s="4"/>
      <c r="V17" s="77" t="e">
        <f t="shared" si="13"/>
        <v>#DIV/0!</v>
      </c>
      <c r="W17" s="77" t="e">
        <f t="shared" si="14"/>
        <v>#DIV/0!</v>
      </c>
      <c r="X17" s="77" t="e" cm="1">
        <f t="array" ref="X17">_xlfn.IFS(Q17&gt;=0.8,5,Q17&gt;=0.6,3,Q17&gt;=0.2,1,Q17&lt;0.2,0)</f>
        <v>#DIV/0!</v>
      </c>
      <c r="Y17" s="55" t="e">
        <f t="shared" si="39"/>
        <v>#DIV/0!</v>
      </c>
      <c r="Z17" s="5"/>
      <c r="AA17" s="5"/>
      <c r="AB17" s="14"/>
      <c r="AC17" s="29"/>
      <c r="AD17" s="4"/>
      <c r="AE17" s="4"/>
      <c r="AF17" s="6"/>
      <c r="AG17" s="6"/>
      <c r="AH17" s="33" t="str">
        <f t="shared" si="15"/>
        <v/>
      </c>
      <c r="AI17" s="42"/>
      <c r="AJ17" s="3"/>
      <c r="AK17" s="37" t="str">
        <f t="shared" si="16"/>
        <v/>
      </c>
      <c r="AL17" s="3"/>
      <c r="AM17" s="3"/>
      <c r="AN17" s="4"/>
      <c r="AO17" s="4"/>
      <c r="AP17" s="6"/>
      <c r="AQ17" s="6"/>
      <c r="AR17" s="33" t="str">
        <f t="shared" si="17"/>
        <v/>
      </c>
      <c r="AS17" s="42"/>
      <c r="AT17" s="3"/>
      <c r="AU17" s="37" t="str">
        <f t="shared" si="18"/>
        <v/>
      </c>
      <c r="AV17" s="3"/>
      <c r="AW17" s="3"/>
      <c r="AX17" s="4"/>
      <c r="AY17" s="4"/>
      <c r="AZ17" s="6"/>
      <c r="BA17" s="6"/>
      <c r="BB17" s="33" t="str">
        <f t="shared" si="19"/>
        <v/>
      </c>
      <c r="BC17" s="42"/>
      <c r="BD17" s="3"/>
      <c r="BE17" s="37" t="str">
        <f t="shared" si="20"/>
        <v/>
      </c>
      <c r="BF17" s="3"/>
      <c r="BG17" s="3"/>
      <c r="BH17" s="4"/>
      <c r="BI17" s="4"/>
      <c r="BJ17" s="6"/>
      <c r="BK17" s="6"/>
      <c r="BL17" s="33" t="str">
        <f t="shared" si="21"/>
        <v/>
      </c>
      <c r="BM17" s="42"/>
      <c r="BN17" s="3"/>
      <c r="BO17" s="37" t="str">
        <f t="shared" si="22"/>
        <v/>
      </c>
      <c r="BP17" s="3"/>
      <c r="BQ17" s="3"/>
      <c r="BR17" s="4"/>
      <c r="BS17" s="4"/>
      <c r="BT17" s="6"/>
      <c r="BU17" s="6"/>
      <c r="BV17" s="33" t="str">
        <f t="shared" si="23"/>
        <v/>
      </c>
      <c r="BW17" s="42"/>
      <c r="BX17" s="3"/>
      <c r="BY17" s="37" t="str">
        <f t="shared" si="24"/>
        <v/>
      </c>
      <c r="BZ17" s="3"/>
      <c r="CA17" s="3"/>
      <c r="CB17" s="4"/>
      <c r="CC17" s="4"/>
      <c r="CD17" s="6"/>
      <c r="CE17" s="6"/>
      <c r="CF17" s="33" t="str">
        <f t="shared" si="25"/>
        <v/>
      </c>
      <c r="CG17" s="42"/>
      <c r="CH17" s="3"/>
      <c r="CI17" s="37" t="str">
        <f t="shared" si="26"/>
        <v/>
      </c>
      <c r="CJ17" s="3"/>
      <c r="CK17" s="3"/>
      <c r="CL17" s="4"/>
      <c r="CM17" s="4"/>
      <c r="CN17" s="6"/>
      <c r="CO17" s="6"/>
      <c r="CP17" s="33" t="str">
        <f t="shared" si="27"/>
        <v/>
      </c>
      <c r="CQ17" s="42"/>
      <c r="CR17" s="3"/>
      <c r="CS17" s="37" t="str">
        <f t="shared" si="28"/>
        <v/>
      </c>
      <c r="CT17" s="3"/>
      <c r="CU17" s="3"/>
      <c r="CV17" s="4"/>
      <c r="CW17" s="4"/>
      <c r="CX17" s="6"/>
      <c r="CY17" s="6"/>
      <c r="CZ17" s="33" t="str">
        <f t="shared" si="29"/>
        <v/>
      </c>
      <c r="DA17" s="42"/>
      <c r="DB17" s="3"/>
      <c r="DC17" s="37" t="str">
        <f t="shared" si="30"/>
        <v/>
      </c>
      <c r="DD17" s="3"/>
      <c r="DE17" s="3"/>
      <c r="DF17" s="4"/>
      <c r="DG17" s="4"/>
      <c r="DH17" s="6"/>
      <c r="DI17" s="6"/>
      <c r="DJ17" s="33" t="str">
        <f t="shared" si="31"/>
        <v/>
      </c>
      <c r="DK17" s="42"/>
      <c r="DL17" s="3"/>
      <c r="DM17" s="37" t="str">
        <f t="shared" si="32"/>
        <v/>
      </c>
      <c r="DN17" s="3"/>
      <c r="DO17" s="3"/>
      <c r="DP17" s="4"/>
      <c r="DQ17" s="4"/>
      <c r="DR17" s="6"/>
      <c r="DS17" s="6"/>
      <c r="DT17" s="33" t="str">
        <f t="shared" si="33"/>
        <v/>
      </c>
      <c r="DU17" s="42"/>
      <c r="DV17" s="3"/>
      <c r="DW17" s="37" t="str">
        <f t="shared" si="34"/>
        <v/>
      </c>
      <c r="DX17" s="3"/>
      <c r="DY17" s="3"/>
      <c r="DZ17" s="4"/>
      <c r="EA17" s="4"/>
      <c r="EB17" s="6"/>
      <c r="EC17" s="6"/>
      <c r="ED17" s="33" t="str">
        <f t="shared" si="35"/>
        <v/>
      </c>
      <c r="EE17" s="42"/>
      <c r="EF17" s="3"/>
      <c r="EG17" s="37" t="str">
        <f t="shared" si="36"/>
        <v/>
      </c>
      <c r="EH17" s="3"/>
      <c r="EI17" s="3"/>
      <c r="EJ17" s="4"/>
      <c r="EK17" s="4"/>
      <c r="EL17" s="6"/>
      <c r="EM17" s="6"/>
      <c r="EN17" s="33" t="str">
        <f t="shared" si="37"/>
        <v/>
      </c>
      <c r="EO17" s="42"/>
      <c r="EP17" s="3"/>
      <c r="EQ17" s="37" t="str">
        <f t="shared" si="38"/>
        <v/>
      </c>
      <c r="ER17" s="3"/>
      <c r="ES17" s="3"/>
    </row>
    <row r="18" spans="2:149" ht="42" customHeight="1">
      <c r="B18" s="3"/>
      <c r="C18" s="3"/>
      <c r="D18" s="4"/>
      <c r="E18" s="75" t="str">
        <f t="shared" si="0"/>
        <v>×</v>
      </c>
      <c r="F18" s="75" t="str">
        <f t="shared" si="1"/>
        <v>×</v>
      </c>
      <c r="G18" s="75" t="str">
        <f t="shared" si="2"/>
        <v>×</v>
      </c>
      <c r="H18" s="75" t="str">
        <f t="shared" si="3"/>
        <v>×</v>
      </c>
      <c r="I18" s="75" t="str">
        <f t="shared" si="4"/>
        <v>×</v>
      </c>
      <c r="J18" s="75" t="str">
        <f t="shared" si="5"/>
        <v>×</v>
      </c>
      <c r="K18" s="75" t="str">
        <f t="shared" si="6"/>
        <v>×</v>
      </c>
      <c r="L18" s="75" t="str">
        <f t="shared" si="7"/>
        <v>×</v>
      </c>
      <c r="M18" s="75" t="str">
        <f t="shared" si="8"/>
        <v>×</v>
      </c>
      <c r="N18" s="75" t="str">
        <f t="shared" si="9"/>
        <v>×</v>
      </c>
      <c r="O18" s="75" t="str">
        <f t="shared" si="10"/>
        <v>×</v>
      </c>
      <c r="P18" s="75" t="str">
        <f t="shared" si="11"/>
        <v>×</v>
      </c>
      <c r="Q18" s="76" t="e">
        <f t="shared" si="12"/>
        <v>#DIV/0!</v>
      </c>
      <c r="R18" s="4"/>
      <c r="S18" s="4"/>
      <c r="T18" s="4"/>
      <c r="U18" s="4"/>
      <c r="V18" s="77" t="e">
        <f t="shared" si="13"/>
        <v>#DIV/0!</v>
      </c>
      <c r="W18" s="77" t="e">
        <f t="shared" si="14"/>
        <v>#DIV/0!</v>
      </c>
      <c r="X18" s="77" t="e" cm="1">
        <f t="array" ref="X18">_xlfn.IFS(Q18&gt;=0.8,5,Q18&gt;=0.6,3,Q18&gt;=0.2,1,Q18&lt;0.2,0)</f>
        <v>#DIV/0!</v>
      </c>
      <c r="Y18" s="55" t="e">
        <f t="shared" si="39"/>
        <v>#DIV/0!</v>
      </c>
      <c r="Z18" s="5"/>
      <c r="AA18" s="5"/>
      <c r="AB18" s="14"/>
      <c r="AC18" s="29"/>
      <c r="AD18" s="4"/>
      <c r="AE18" s="4"/>
      <c r="AF18" s="6"/>
      <c r="AG18" s="6"/>
      <c r="AH18" s="33" t="str">
        <f t="shared" si="15"/>
        <v/>
      </c>
      <c r="AI18" s="42"/>
      <c r="AJ18" s="3"/>
      <c r="AK18" s="37" t="str">
        <f t="shared" si="16"/>
        <v/>
      </c>
      <c r="AL18" s="3"/>
      <c r="AM18" s="3"/>
      <c r="AN18" s="4"/>
      <c r="AO18" s="4"/>
      <c r="AP18" s="6"/>
      <c r="AQ18" s="6"/>
      <c r="AR18" s="33" t="str">
        <f t="shared" si="17"/>
        <v/>
      </c>
      <c r="AS18" s="42"/>
      <c r="AT18" s="3"/>
      <c r="AU18" s="37" t="str">
        <f t="shared" si="18"/>
        <v/>
      </c>
      <c r="AV18" s="3"/>
      <c r="AW18" s="3"/>
      <c r="AX18" s="4"/>
      <c r="AY18" s="4"/>
      <c r="AZ18" s="6"/>
      <c r="BA18" s="6"/>
      <c r="BB18" s="33" t="str">
        <f t="shared" si="19"/>
        <v/>
      </c>
      <c r="BC18" s="42"/>
      <c r="BD18" s="3"/>
      <c r="BE18" s="37" t="str">
        <f t="shared" si="20"/>
        <v/>
      </c>
      <c r="BF18" s="3"/>
      <c r="BG18" s="3"/>
      <c r="BH18" s="4"/>
      <c r="BI18" s="4"/>
      <c r="BJ18" s="6"/>
      <c r="BK18" s="6"/>
      <c r="BL18" s="33" t="str">
        <f t="shared" si="21"/>
        <v/>
      </c>
      <c r="BM18" s="42"/>
      <c r="BN18" s="3"/>
      <c r="BO18" s="37" t="str">
        <f t="shared" si="22"/>
        <v/>
      </c>
      <c r="BP18" s="3"/>
      <c r="BQ18" s="3"/>
      <c r="BR18" s="4"/>
      <c r="BS18" s="4"/>
      <c r="BT18" s="6"/>
      <c r="BU18" s="6"/>
      <c r="BV18" s="33" t="str">
        <f t="shared" si="23"/>
        <v/>
      </c>
      <c r="BW18" s="42"/>
      <c r="BX18" s="3"/>
      <c r="BY18" s="37" t="str">
        <f t="shared" si="24"/>
        <v/>
      </c>
      <c r="BZ18" s="3"/>
      <c r="CA18" s="3"/>
      <c r="CB18" s="4"/>
      <c r="CC18" s="4"/>
      <c r="CD18" s="6"/>
      <c r="CE18" s="6"/>
      <c r="CF18" s="33" t="str">
        <f t="shared" si="25"/>
        <v/>
      </c>
      <c r="CG18" s="42"/>
      <c r="CH18" s="3"/>
      <c r="CI18" s="37" t="str">
        <f t="shared" si="26"/>
        <v/>
      </c>
      <c r="CJ18" s="3"/>
      <c r="CK18" s="3"/>
      <c r="CL18" s="4"/>
      <c r="CM18" s="4"/>
      <c r="CN18" s="6"/>
      <c r="CO18" s="6"/>
      <c r="CP18" s="33" t="str">
        <f t="shared" si="27"/>
        <v/>
      </c>
      <c r="CQ18" s="42"/>
      <c r="CR18" s="3"/>
      <c r="CS18" s="37" t="str">
        <f t="shared" si="28"/>
        <v/>
      </c>
      <c r="CT18" s="3"/>
      <c r="CU18" s="3"/>
      <c r="CV18" s="4"/>
      <c r="CW18" s="4"/>
      <c r="CX18" s="6"/>
      <c r="CY18" s="6"/>
      <c r="CZ18" s="33" t="str">
        <f t="shared" si="29"/>
        <v/>
      </c>
      <c r="DA18" s="42"/>
      <c r="DB18" s="3"/>
      <c r="DC18" s="37" t="str">
        <f t="shared" si="30"/>
        <v/>
      </c>
      <c r="DD18" s="3"/>
      <c r="DE18" s="3"/>
      <c r="DF18" s="4"/>
      <c r="DG18" s="4"/>
      <c r="DH18" s="6"/>
      <c r="DI18" s="6"/>
      <c r="DJ18" s="33" t="str">
        <f t="shared" si="31"/>
        <v/>
      </c>
      <c r="DK18" s="42"/>
      <c r="DL18" s="3"/>
      <c r="DM18" s="37" t="str">
        <f t="shared" si="32"/>
        <v/>
      </c>
      <c r="DN18" s="3"/>
      <c r="DO18" s="3"/>
      <c r="DP18" s="4"/>
      <c r="DQ18" s="4"/>
      <c r="DR18" s="6"/>
      <c r="DS18" s="6"/>
      <c r="DT18" s="33" t="str">
        <f t="shared" si="33"/>
        <v/>
      </c>
      <c r="DU18" s="42"/>
      <c r="DV18" s="3"/>
      <c r="DW18" s="37" t="str">
        <f t="shared" si="34"/>
        <v/>
      </c>
      <c r="DX18" s="3"/>
      <c r="DY18" s="3"/>
      <c r="DZ18" s="4"/>
      <c r="EA18" s="4"/>
      <c r="EB18" s="6"/>
      <c r="EC18" s="6"/>
      <c r="ED18" s="33" t="str">
        <f t="shared" si="35"/>
        <v/>
      </c>
      <c r="EE18" s="42"/>
      <c r="EF18" s="3"/>
      <c r="EG18" s="37" t="str">
        <f t="shared" si="36"/>
        <v/>
      </c>
      <c r="EH18" s="3"/>
      <c r="EI18" s="3"/>
      <c r="EJ18" s="4"/>
      <c r="EK18" s="4"/>
      <c r="EL18" s="6"/>
      <c r="EM18" s="6"/>
      <c r="EN18" s="33" t="str">
        <f t="shared" si="37"/>
        <v/>
      </c>
      <c r="EO18" s="42"/>
      <c r="EP18" s="3"/>
      <c r="EQ18" s="37" t="str">
        <f t="shared" si="38"/>
        <v/>
      </c>
      <c r="ER18" s="3"/>
      <c r="ES18" s="3"/>
    </row>
    <row r="19" spans="2:149" ht="42" customHeight="1">
      <c r="B19" s="3"/>
      <c r="C19" s="3"/>
      <c r="D19" s="4"/>
      <c r="E19" s="75" t="str">
        <f t="shared" si="0"/>
        <v>×</v>
      </c>
      <c r="F19" s="75" t="str">
        <f t="shared" si="1"/>
        <v>×</v>
      </c>
      <c r="G19" s="75" t="str">
        <f t="shared" si="2"/>
        <v>×</v>
      </c>
      <c r="H19" s="75" t="str">
        <f t="shared" si="3"/>
        <v>×</v>
      </c>
      <c r="I19" s="75" t="str">
        <f t="shared" si="4"/>
        <v>×</v>
      </c>
      <c r="J19" s="75" t="str">
        <f t="shared" si="5"/>
        <v>×</v>
      </c>
      <c r="K19" s="75" t="str">
        <f t="shared" si="6"/>
        <v>×</v>
      </c>
      <c r="L19" s="75" t="str">
        <f t="shared" si="7"/>
        <v>×</v>
      </c>
      <c r="M19" s="75" t="str">
        <f t="shared" si="8"/>
        <v>×</v>
      </c>
      <c r="N19" s="75" t="str">
        <f t="shared" si="9"/>
        <v>×</v>
      </c>
      <c r="O19" s="75" t="str">
        <f t="shared" si="10"/>
        <v>×</v>
      </c>
      <c r="P19" s="75" t="str">
        <f t="shared" si="11"/>
        <v>×</v>
      </c>
      <c r="Q19" s="76" t="e">
        <f t="shared" si="12"/>
        <v>#DIV/0!</v>
      </c>
      <c r="R19" s="4"/>
      <c r="S19" s="4"/>
      <c r="T19" s="4"/>
      <c r="U19" s="4"/>
      <c r="V19" s="77" t="e">
        <f t="shared" si="13"/>
        <v>#DIV/0!</v>
      </c>
      <c r="W19" s="77" t="e">
        <f t="shared" si="14"/>
        <v>#DIV/0!</v>
      </c>
      <c r="X19" s="77" t="e" cm="1">
        <f t="array" ref="X19">_xlfn.IFS(Q19&gt;=0.8,5,Q19&gt;=0.6,3,Q19&gt;=0.2,1,Q19&lt;0.2,0)</f>
        <v>#DIV/0!</v>
      </c>
      <c r="Y19" s="55" t="e">
        <f t="shared" si="39"/>
        <v>#DIV/0!</v>
      </c>
      <c r="Z19" s="5"/>
      <c r="AA19" s="5"/>
      <c r="AB19" s="14"/>
      <c r="AC19" s="29"/>
      <c r="AD19" s="4"/>
      <c r="AE19" s="4"/>
      <c r="AF19" s="6"/>
      <c r="AG19" s="6"/>
      <c r="AH19" s="33" t="str">
        <f t="shared" si="15"/>
        <v/>
      </c>
      <c r="AI19" s="42"/>
      <c r="AJ19" s="3"/>
      <c r="AK19" s="37" t="str">
        <f t="shared" si="16"/>
        <v/>
      </c>
      <c r="AL19" s="3"/>
      <c r="AM19" s="3"/>
      <c r="AN19" s="4"/>
      <c r="AO19" s="4"/>
      <c r="AP19" s="6"/>
      <c r="AQ19" s="6"/>
      <c r="AR19" s="33" t="str">
        <f t="shared" si="17"/>
        <v/>
      </c>
      <c r="AS19" s="42"/>
      <c r="AT19" s="3"/>
      <c r="AU19" s="37" t="str">
        <f t="shared" si="18"/>
        <v/>
      </c>
      <c r="AV19" s="3"/>
      <c r="AW19" s="3"/>
      <c r="AX19" s="4"/>
      <c r="AY19" s="4"/>
      <c r="AZ19" s="6"/>
      <c r="BA19" s="6"/>
      <c r="BB19" s="33" t="str">
        <f t="shared" si="19"/>
        <v/>
      </c>
      <c r="BC19" s="42"/>
      <c r="BD19" s="3"/>
      <c r="BE19" s="37" t="str">
        <f t="shared" si="20"/>
        <v/>
      </c>
      <c r="BF19" s="3"/>
      <c r="BG19" s="3"/>
      <c r="BH19" s="4"/>
      <c r="BI19" s="4"/>
      <c r="BJ19" s="6"/>
      <c r="BK19" s="6"/>
      <c r="BL19" s="33" t="str">
        <f t="shared" si="21"/>
        <v/>
      </c>
      <c r="BM19" s="42"/>
      <c r="BN19" s="3"/>
      <c r="BO19" s="37" t="str">
        <f t="shared" si="22"/>
        <v/>
      </c>
      <c r="BP19" s="3"/>
      <c r="BQ19" s="3"/>
      <c r="BR19" s="4"/>
      <c r="BS19" s="4"/>
      <c r="BT19" s="6"/>
      <c r="BU19" s="6"/>
      <c r="BV19" s="33" t="str">
        <f t="shared" si="23"/>
        <v/>
      </c>
      <c r="BW19" s="42"/>
      <c r="BX19" s="3"/>
      <c r="BY19" s="37" t="str">
        <f t="shared" si="24"/>
        <v/>
      </c>
      <c r="BZ19" s="3"/>
      <c r="CA19" s="3"/>
      <c r="CB19" s="4"/>
      <c r="CC19" s="4"/>
      <c r="CD19" s="6"/>
      <c r="CE19" s="6"/>
      <c r="CF19" s="33" t="str">
        <f t="shared" si="25"/>
        <v/>
      </c>
      <c r="CG19" s="42"/>
      <c r="CH19" s="3"/>
      <c r="CI19" s="37" t="str">
        <f t="shared" si="26"/>
        <v/>
      </c>
      <c r="CJ19" s="3"/>
      <c r="CK19" s="3"/>
      <c r="CL19" s="4"/>
      <c r="CM19" s="4"/>
      <c r="CN19" s="6"/>
      <c r="CO19" s="6"/>
      <c r="CP19" s="33" t="str">
        <f t="shared" si="27"/>
        <v/>
      </c>
      <c r="CQ19" s="42"/>
      <c r="CR19" s="3"/>
      <c r="CS19" s="37" t="str">
        <f t="shared" si="28"/>
        <v/>
      </c>
      <c r="CT19" s="3"/>
      <c r="CU19" s="3"/>
      <c r="CV19" s="4"/>
      <c r="CW19" s="4"/>
      <c r="CX19" s="6"/>
      <c r="CY19" s="6"/>
      <c r="CZ19" s="33" t="str">
        <f t="shared" si="29"/>
        <v/>
      </c>
      <c r="DA19" s="42"/>
      <c r="DB19" s="3"/>
      <c r="DC19" s="37" t="str">
        <f t="shared" si="30"/>
        <v/>
      </c>
      <c r="DD19" s="3"/>
      <c r="DE19" s="3"/>
      <c r="DF19" s="4"/>
      <c r="DG19" s="4"/>
      <c r="DH19" s="6"/>
      <c r="DI19" s="6"/>
      <c r="DJ19" s="33" t="str">
        <f t="shared" si="31"/>
        <v/>
      </c>
      <c r="DK19" s="42"/>
      <c r="DL19" s="3"/>
      <c r="DM19" s="37" t="str">
        <f t="shared" si="32"/>
        <v/>
      </c>
      <c r="DN19" s="3"/>
      <c r="DO19" s="3"/>
      <c r="DP19" s="4"/>
      <c r="DQ19" s="4"/>
      <c r="DR19" s="6"/>
      <c r="DS19" s="6"/>
      <c r="DT19" s="33" t="str">
        <f t="shared" si="33"/>
        <v/>
      </c>
      <c r="DU19" s="42"/>
      <c r="DV19" s="3"/>
      <c r="DW19" s="37" t="str">
        <f t="shared" si="34"/>
        <v/>
      </c>
      <c r="DX19" s="3"/>
      <c r="DY19" s="3"/>
      <c r="DZ19" s="4"/>
      <c r="EA19" s="4"/>
      <c r="EB19" s="6"/>
      <c r="EC19" s="6"/>
      <c r="ED19" s="33" t="str">
        <f t="shared" si="35"/>
        <v/>
      </c>
      <c r="EE19" s="42"/>
      <c r="EF19" s="3"/>
      <c r="EG19" s="37" t="str">
        <f t="shared" si="36"/>
        <v/>
      </c>
      <c r="EH19" s="3"/>
      <c r="EI19" s="3"/>
      <c r="EJ19" s="4"/>
      <c r="EK19" s="4"/>
      <c r="EL19" s="6"/>
      <c r="EM19" s="6"/>
      <c r="EN19" s="33" t="str">
        <f t="shared" si="37"/>
        <v/>
      </c>
      <c r="EO19" s="42"/>
      <c r="EP19" s="3"/>
      <c r="EQ19" s="37" t="str">
        <f t="shared" si="38"/>
        <v/>
      </c>
      <c r="ER19" s="3"/>
      <c r="ES19" s="3"/>
    </row>
    <row r="20" spans="2:149" ht="42" customHeight="1">
      <c r="B20" s="3"/>
      <c r="C20" s="3"/>
      <c r="D20" s="4"/>
      <c r="E20" s="75" t="str">
        <f t="shared" si="0"/>
        <v>×</v>
      </c>
      <c r="F20" s="75" t="str">
        <f t="shared" si="1"/>
        <v>×</v>
      </c>
      <c r="G20" s="75" t="str">
        <f t="shared" si="2"/>
        <v>×</v>
      </c>
      <c r="H20" s="75" t="str">
        <f t="shared" si="3"/>
        <v>×</v>
      </c>
      <c r="I20" s="75" t="str">
        <f t="shared" si="4"/>
        <v>×</v>
      </c>
      <c r="J20" s="75" t="str">
        <f t="shared" si="5"/>
        <v>×</v>
      </c>
      <c r="K20" s="75" t="str">
        <f t="shared" si="6"/>
        <v>×</v>
      </c>
      <c r="L20" s="75" t="str">
        <f t="shared" si="7"/>
        <v>×</v>
      </c>
      <c r="M20" s="75" t="str">
        <f t="shared" si="8"/>
        <v>×</v>
      </c>
      <c r="N20" s="75" t="str">
        <f t="shared" si="9"/>
        <v>×</v>
      </c>
      <c r="O20" s="75" t="str">
        <f t="shared" si="10"/>
        <v>×</v>
      </c>
      <c r="P20" s="75" t="str">
        <f t="shared" si="11"/>
        <v>×</v>
      </c>
      <c r="Q20" s="76" t="e">
        <f t="shared" si="12"/>
        <v>#DIV/0!</v>
      </c>
      <c r="R20" s="4"/>
      <c r="S20" s="4"/>
      <c r="T20" s="4"/>
      <c r="U20" s="4"/>
      <c r="V20" s="77" t="e">
        <f t="shared" si="13"/>
        <v>#DIV/0!</v>
      </c>
      <c r="W20" s="77" t="e">
        <f t="shared" si="14"/>
        <v>#DIV/0!</v>
      </c>
      <c r="X20" s="77" t="e" cm="1">
        <f t="array" ref="X20">_xlfn.IFS(Q20&gt;=0.8,5,Q20&gt;=0.6,3,Q20&gt;=0.2,1,Q20&lt;0.2,0)</f>
        <v>#DIV/0!</v>
      </c>
      <c r="Y20" s="55" t="e">
        <f t="shared" si="39"/>
        <v>#DIV/0!</v>
      </c>
      <c r="Z20" s="5"/>
      <c r="AA20" s="5"/>
      <c r="AB20" s="14"/>
      <c r="AC20" s="29"/>
      <c r="AD20" s="4"/>
      <c r="AE20" s="4"/>
      <c r="AF20" s="6"/>
      <c r="AG20" s="6"/>
      <c r="AH20" s="33" t="str">
        <f t="shared" si="15"/>
        <v/>
      </c>
      <c r="AI20" s="42"/>
      <c r="AJ20" s="3"/>
      <c r="AK20" s="37" t="str">
        <f t="shared" si="16"/>
        <v/>
      </c>
      <c r="AL20" s="3"/>
      <c r="AM20" s="3"/>
      <c r="AN20" s="4"/>
      <c r="AO20" s="4"/>
      <c r="AP20" s="6"/>
      <c r="AQ20" s="6"/>
      <c r="AR20" s="33" t="str">
        <f t="shared" si="17"/>
        <v/>
      </c>
      <c r="AS20" s="42"/>
      <c r="AT20" s="3"/>
      <c r="AU20" s="37" t="str">
        <f t="shared" si="18"/>
        <v/>
      </c>
      <c r="AV20" s="3"/>
      <c r="AW20" s="3"/>
      <c r="AX20" s="4"/>
      <c r="AY20" s="4"/>
      <c r="AZ20" s="6"/>
      <c r="BA20" s="6"/>
      <c r="BB20" s="33" t="str">
        <f t="shared" si="19"/>
        <v/>
      </c>
      <c r="BC20" s="42"/>
      <c r="BD20" s="3"/>
      <c r="BE20" s="37" t="str">
        <f t="shared" si="20"/>
        <v/>
      </c>
      <c r="BF20" s="3"/>
      <c r="BG20" s="3"/>
      <c r="BH20" s="4"/>
      <c r="BI20" s="4"/>
      <c r="BJ20" s="6"/>
      <c r="BK20" s="6"/>
      <c r="BL20" s="33" t="str">
        <f t="shared" si="21"/>
        <v/>
      </c>
      <c r="BM20" s="42"/>
      <c r="BN20" s="3"/>
      <c r="BO20" s="37" t="str">
        <f t="shared" si="22"/>
        <v/>
      </c>
      <c r="BP20" s="3"/>
      <c r="BQ20" s="3"/>
      <c r="BR20" s="4"/>
      <c r="BS20" s="4"/>
      <c r="BT20" s="6"/>
      <c r="BU20" s="6"/>
      <c r="BV20" s="33" t="str">
        <f t="shared" si="23"/>
        <v/>
      </c>
      <c r="BW20" s="42"/>
      <c r="BX20" s="3"/>
      <c r="BY20" s="37" t="str">
        <f t="shared" si="24"/>
        <v/>
      </c>
      <c r="BZ20" s="3"/>
      <c r="CA20" s="3"/>
      <c r="CB20" s="4"/>
      <c r="CC20" s="4"/>
      <c r="CD20" s="6"/>
      <c r="CE20" s="6"/>
      <c r="CF20" s="33" t="str">
        <f t="shared" si="25"/>
        <v/>
      </c>
      <c r="CG20" s="42"/>
      <c r="CH20" s="3"/>
      <c r="CI20" s="37" t="str">
        <f t="shared" si="26"/>
        <v/>
      </c>
      <c r="CJ20" s="3"/>
      <c r="CK20" s="3"/>
      <c r="CL20" s="4"/>
      <c r="CM20" s="4"/>
      <c r="CN20" s="6"/>
      <c r="CO20" s="6"/>
      <c r="CP20" s="33" t="str">
        <f t="shared" si="27"/>
        <v/>
      </c>
      <c r="CQ20" s="42"/>
      <c r="CR20" s="3"/>
      <c r="CS20" s="37" t="str">
        <f t="shared" si="28"/>
        <v/>
      </c>
      <c r="CT20" s="3"/>
      <c r="CU20" s="3"/>
      <c r="CV20" s="4"/>
      <c r="CW20" s="4"/>
      <c r="CX20" s="6"/>
      <c r="CY20" s="6"/>
      <c r="CZ20" s="33" t="str">
        <f t="shared" si="29"/>
        <v/>
      </c>
      <c r="DA20" s="42"/>
      <c r="DB20" s="3"/>
      <c r="DC20" s="37" t="str">
        <f t="shared" si="30"/>
        <v/>
      </c>
      <c r="DD20" s="3"/>
      <c r="DE20" s="3"/>
      <c r="DF20" s="4"/>
      <c r="DG20" s="4"/>
      <c r="DH20" s="6"/>
      <c r="DI20" s="6"/>
      <c r="DJ20" s="33" t="str">
        <f t="shared" si="31"/>
        <v/>
      </c>
      <c r="DK20" s="42"/>
      <c r="DL20" s="3"/>
      <c r="DM20" s="37" t="str">
        <f t="shared" si="32"/>
        <v/>
      </c>
      <c r="DN20" s="3"/>
      <c r="DO20" s="3"/>
      <c r="DP20" s="4"/>
      <c r="DQ20" s="4"/>
      <c r="DR20" s="6"/>
      <c r="DS20" s="6"/>
      <c r="DT20" s="33" t="str">
        <f t="shared" si="33"/>
        <v/>
      </c>
      <c r="DU20" s="42"/>
      <c r="DV20" s="3"/>
      <c r="DW20" s="37" t="str">
        <f t="shared" si="34"/>
        <v/>
      </c>
      <c r="DX20" s="3"/>
      <c r="DY20" s="3"/>
      <c r="DZ20" s="4"/>
      <c r="EA20" s="4"/>
      <c r="EB20" s="6"/>
      <c r="EC20" s="6"/>
      <c r="ED20" s="33" t="str">
        <f t="shared" si="35"/>
        <v/>
      </c>
      <c r="EE20" s="42"/>
      <c r="EF20" s="3"/>
      <c r="EG20" s="37" t="str">
        <f t="shared" si="36"/>
        <v/>
      </c>
      <c r="EH20" s="3"/>
      <c r="EI20" s="3"/>
      <c r="EJ20" s="4"/>
      <c r="EK20" s="4"/>
      <c r="EL20" s="6"/>
      <c r="EM20" s="6"/>
      <c r="EN20" s="33" t="str">
        <f t="shared" si="37"/>
        <v/>
      </c>
      <c r="EO20" s="42"/>
      <c r="EP20" s="3"/>
      <c r="EQ20" s="37" t="str">
        <f t="shared" si="38"/>
        <v/>
      </c>
      <c r="ER20" s="3"/>
      <c r="ES20" s="3"/>
    </row>
    <row r="21" spans="2:149" ht="42" customHeight="1">
      <c r="B21" s="3"/>
      <c r="C21" s="3"/>
      <c r="D21" s="4"/>
      <c r="E21" s="75" t="str">
        <f t="shared" si="0"/>
        <v>×</v>
      </c>
      <c r="F21" s="75" t="str">
        <f t="shared" si="1"/>
        <v>×</v>
      </c>
      <c r="G21" s="75" t="str">
        <f t="shared" si="2"/>
        <v>×</v>
      </c>
      <c r="H21" s="75" t="str">
        <f t="shared" si="3"/>
        <v>×</v>
      </c>
      <c r="I21" s="75" t="str">
        <f t="shared" si="4"/>
        <v>×</v>
      </c>
      <c r="J21" s="75" t="str">
        <f t="shared" si="5"/>
        <v>×</v>
      </c>
      <c r="K21" s="75" t="str">
        <f t="shared" si="6"/>
        <v>×</v>
      </c>
      <c r="L21" s="75" t="str">
        <f t="shared" si="7"/>
        <v>×</v>
      </c>
      <c r="M21" s="75" t="str">
        <f t="shared" si="8"/>
        <v>×</v>
      </c>
      <c r="N21" s="75" t="str">
        <f t="shared" si="9"/>
        <v>×</v>
      </c>
      <c r="O21" s="75" t="str">
        <f t="shared" si="10"/>
        <v>×</v>
      </c>
      <c r="P21" s="75" t="str">
        <f t="shared" si="11"/>
        <v>×</v>
      </c>
      <c r="Q21" s="76" t="e">
        <f t="shared" si="12"/>
        <v>#DIV/0!</v>
      </c>
      <c r="R21" s="4"/>
      <c r="S21" s="4"/>
      <c r="T21" s="4"/>
      <c r="U21" s="4"/>
      <c r="V21" s="77" t="e">
        <f t="shared" si="13"/>
        <v>#DIV/0!</v>
      </c>
      <c r="W21" s="77" t="e">
        <f t="shared" si="14"/>
        <v>#DIV/0!</v>
      </c>
      <c r="X21" s="77" t="e" cm="1">
        <f t="array" ref="X21">_xlfn.IFS(Q21&gt;=0.8,5,Q21&gt;=0.6,3,Q21&gt;=0.2,1,Q21&lt;0.2,0)</f>
        <v>#DIV/0!</v>
      </c>
      <c r="Y21" s="55" t="e">
        <f t="shared" si="39"/>
        <v>#DIV/0!</v>
      </c>
      <c r="Z21" s="5"/>
      <c r="AA21" s="5"/>
      <c r="AB21" s="14"/>
      <c r="AC21" s="29"/>
      <c r="AD21" s="4"/>
      <c r="AE21" s="4"/>
      <c r="AF21" s="6"/>
      <c r="AG21" s="6"/>
      <c r="AH21" s="33" t="str">
        <f t="shared" si="15"/>
        <v/>
      </c>
      <c r="AI21" s="42"/>
      <c r="AJ21" s="3"/>
      <c r="AK21" s="37" t="str">
        <f t="shared" si="16"/>
        <v/>
      </c>
      <c r="AL21" s="3"/>
      <c r="AM21" s="3"/>
      <c r="AN21" s="4"/>
      <c r="AO21" s="4"/>
      <c r="AP21" s="6"/>
      <c r="AQ21" s="6"/>
      <c r="AR21" s="33" t="str">
        <f t="shared" si="17"/>
        <v/>
      </c>
      <c r="AS21" s="42"/>
      <c r="AT21" s="3"/>
      <c r="AU21" s="37" t="str">
        <f t="shared" si="18"/>
        <v/>
      </c>
      <c r="AV21" s="3"/>
      <c r="AW21" s="3"/>
      <c r="AX21" s="4"/>
      <c r="AY21" s="4"/>
      <c r="AZ21" s="6"/>
      <c r="BA21" s="6"/>
      <c r="BB21" s="33" t="str">
        <f t="shared" si="19"/>
        <v/>
      </c>
      <c r="BC21" s="42"/>
      <c r="BD21" s="3"/>
      <c r="BE21" s="37" t="str">
        <f t="shared" si="20"/>
        <v/>
      </c>
      <c r="BF21" s="3"/>
      <c r="BG21" s="3"/>
      <c r="BH21" s="4"/>
      <c r="BI21" s="4"/>
      <c r="BJ21" s="6"/>
      <c r="BK21" s="6"/>
      <c r="BL21" s="33" t="str">
        <f t="shared" si="21"/>
        <v/>
      </c>
      <c r="BM21" s="42"/>
      <c r="BN21" s="3"/>
      <c r="BO21" s="37" t="str">
        <f t="shared" si="22"/>
        <v/>
      </c>
      <c r="BP21" s="3"/>
      <c r="BQ21" s="3"/>
      <c r="BR21" s="4"/>
      <c r="BS21" s="4"/>
      <c r="BT21" s="6"/>
      <c r="BU21" s="6"/>
      <c r="BV21" s="33" t="str">
        <f t="shared" si="23"/>
        <v/>
      </c>
      <c r="BW21" s="42"/>
      <c r="BX21" s="3"/>
      <c r="BY21" s="37" t="str">
        <f t="shared" si="24"/>
        <v/>
      </c>
      <c r="BZ21" s="3"/>
      <c r="CA21" s="3"/>
      <c r="CB21" s="4"/>
      <c r="CC21" s="4"/>
      <c r="CD21" s="6"/>
      <c r="CE21" s="6"/>
      <c r="CF21" s="33" t="str">
        <f t="shared" si="25"/>
        <v/>
      </c>
      <c r="CG21" s="42"/>
      <c r="CH21" s="3"/>
      <c r="CI21" s="37" t="str">
        <f t="shared" si="26"/>
        <v/>
      </c>
      <c r="CJ21" s="3"/>
      <c r="CK21" s="3"/>
      <c r="CL21" s="4"/>
      <c r="CM21" s="4"/>
      <c r="CN21" s="6"/>
      <c r="CO21" s="6"/>
      <c r="CP21" s="33" t="str">
        <f t="shared" si="27"/>
        <v/>
      </c>
      <c r="CQ21" s="42"/>
      <c r="CR21" s="3"/>
      <c r="CS21" s="37" t="str">
        <f t="shared" si="28"/>
        <v/>
      </c>
      <c r="CT21" s="3"/>
      <c r="CU21" s="3"/>
      <c r="CV21" s="4"/>
      <c r="CW21" s="4"/>
      <c r="CX21" s="6"/>
      <c r="CY21" s="6"/>
      <c r="CZ21" s="33" t="str">
        <f t="shared" si="29"/>
        <v/>
      </c>
      <c r="DA21" s="42"/>
      <c r="DB21" s="3"/>
      <c r="DC21" s="37" t="str">
        <f t="shared" si="30"/>
        <v/>
      </c>
      <c r="DD21" s="3"/>
      <c r="DE21" s="3"/>
      <c r="DF21" s="4"/>
      <c r="DG21" s="4"/>
      <c r="DH21" s="6"/>
      <c r="DI21" s="6"/>
      <c r="DJ21" s="33" t="str">
        <f t="shared" si="31"/>
        <v/>
      </c>
      <c r="DK21" s="42"/>
      <c r="DL21" s="3"/>
      <c r="DM21" s="37" t="str">
        <f t="shared" si="32"/>
        <v/>
      </c>
      <c r="DN21" s="3"/>
      <c r="DO21" s="3"/>
      <c r="DP21" s="4"/>
      <c r="DQ21" s="4"/>
      <c r="DR21" s="6"/>
      <c r="DS21" s="6"/>
      <c r="DT21" s="33" t="str">
        <f t="shared" si="33"/>
        <v/>
      </c>
      <c r="DU21" s="42"/>
      <c r="DV21" s="3"/>
      <c r="DW21" s="37" t="str">
        <f t="shared" si="34"/>
        <v/>
      </c>
      <c r="DX21" s="3"/>
      <c r="DY21" s="3"/>
      <c r="DZ21" s="4"/>
      <c r="EA21" s="4"/>
      <c r="EB21" s="6"/>
      <c r="EC21" s="6"/>
      <c r="ED21" s="33" t="str">
        <f t="shared" si="35"/>
        <v/>
      </c>
      <c r="EE21" s="42"/>
      <c r="EF21" s="3"/>
      <c r="EG21" s="37" t="str">
        <f t="shared" si="36"/>
        <v/>
      </c>
      <c r="EH21" s="3"/>
      <c r="EI21" s="3"/>
      <c r="EJ21" s="4"/>
      <c r="EK21" s="4"/>
      <c r="EL21" s="6"/>
      <c r="EM21" s="6"/>
      <c r="EN21" s="33" t="str">
        <f t="shared" si="37"/>
        <v/>
      </c>
      <c r="EO21" s="42"/>
      <c r="EP21" s="3"/>
      <c r="EQ21" s="37" t="str">
        <f t="shared" si="38"/>
        <v/>
      </c>
      <c r="ER21" s="3"/>
      <c r="ES21" s="3"/>
    </row>
    <row r="22" spans="2:149" ht="42" customHeight="1">
      <c r="B22" s="3"/>
      <c r="C22" s="3"/>
      <c r="D22" s="4"/>
      <c r="E22" s="75" t="str">
        <f t="shared" si="0"/>
        <v>×</v>
      </c>
      <c r="F22" s="75" t="str">
        <f t="shared" si="1"/>
        <v>×</v>
      </c>
      <c r="G22" s="75" t="str">
        <f t="shared" si="2"/>
        <v>×</v>
      </c>
      <c r="H22" s="75" t="str">
        <f t="shared" si="3"/>
        <v>×</v>
      </c>
      <c r="I22" s="75" t="str">
        <f t="shared" si="4"/>
        <v>×</v>
      </c>
      <c r="J22" s="75" t="str">
        <f t="shared" si="5"/>
        <v>×</v>
      </c>
      <c r="K22" s="75" t="str">
        <f t="shared" si="6"/>
        <v>×</v>
      </c>
      <c r="L22" s="75" t="str">
        <f t="shared" si="7"/>
        <v>×</v>
      </c>
      <c r="M22" s="75" t="str">
        <f t="shared" si="8"/>
        <v>×</v>
      </c>
      <c r="N22" s="75" t="str">
        <f t="shared" si="9"/>
        <v>×</v>
      </c>
      <c r="O22" s="75" t="str">
        <f t="shared" si="10"/>
        <v>×</v>
      </c>
      <c r="P22" s="75" t="str">
        <f t="shared" si="11"/>
        <v>×</v>
      </c>
      <c r="Q22" s="76" t="e">
        <f t="shared" si="12"/>
        <v>#DIV/0!</v>
      </c>
      <c r="R22" s="4"/>
      <c r="S22" s="4"/>
      <c r="T22" s="4"/>
      <c r="U22" s="4"/>
      <c r="V22" s="77" t="e">
        <f t="shared" si="13"/>
        <v>#DIV/0!</v>
      </c>
      <c r="W22" s="77" t="e">
        <f t="shared" si="14"/>
        <v>#DIV/0!</v>
      </c>
      <c r="X22" s="77" t="e" cm="1">
        <f t="array" ref="X22">_xlfn.IFS(Q22&gt;=0.8,5,Q22&gt;=0.6,3,Q22&gt;=0.2,1,Q22&lt;0.2,0)</f>
        <v>#DIV/0!</v>
      </c>
      <c r="Y22" s="55" t="e">
        <f t="shared" si="39"/>
        <v>#DIV/0!</v>
      </c>
      <c r="Z22" s="5"/>
      <c r="AA22" s="5"/>
      <c r="AB22" s="14"/>
      <c r="AC22" s="29"/>
      <c r="AD22" s="4"/>
      <c r="AE22" s="4"/>
      <c r="AF22" s="6"/>
      <c r="AG22" s="6"/>
      <c r="AH22" s="33" t="str">
        <f t="shared" si="15"/>
        <v/>
      </c>
      <c r="AI22" s="42"/>
      <c r="AJ22" s="3"/>
      <c r="AK22" s="37" t="str">
        <f t="shared" si="16"/>
        <v/>
      </c>
      <c r="AL22" s="3"/>
      <c r="AM22" s="3"/>
      <c r="AN22" s="4"/>
      <c r="AO22" s="4"/>
      <c r="AP22" s="6"/>
      <c r="AQ22" s="6"/>
      <c r="AR22" s="33" t="str">
        <f t="shared" si="17"/>
        <v/>
      </c>
      <c r="AS22" s="42"/>
      <c r="AT22" s="3"/>
      <c r="AU22" s="37" t="str">
        <f t="shared" si="18"/>
        <v/>
      </c>
      <c r="AV22" s="3"/>
      <c r="AW22" s="3"/>
      <c r="AX22" s="4"/>
      <c r="AY22" s="4"/>
      <c r="AZ22" s="6"/>
      <c r="BA22" s="6"/>
      <c r="BB22" s="33" t="str">
        <f t="shared" si="19"/>
        <v/>
      </c>
      <c r="BC22" s="42"/>
      <c r="BD22" s="3"/>
      <c r="BE22" s="37" t="str">
        <f t="shared" si="20"/>
        <v/>
      </c>
      <c r="BF22" s="3"/>
      <c r="BG22" s="3"/>
      <c r="BH22" s="4"/>
      <c r="BI22" s="4"/>
      <c r="BJ22" s="6"/>
      <c r="BK22" s="6"/>
      <c r="BL22" s="33" t="str">
        <f t="shared" si="21"/>
        <v/>
      </c>
      <c r="BM22" s="42"/>
      <c r="BN22" s="3"/>
      <c r="BO22" s="37" t="str">
        <f t="shared" si="22"/>
        <v/>
      </c>
      <c r="BP22" s="3"/>
      <c r="BQ22" s="3"/>
      <c r="BR22" s="4"/>
      <c r="BS22" s="4"/>
      <c r="BT22" s="6"/>
      <c r="BU22" s="6"/>
      <c r="BV22" s="33" t="str">
        <f t="shared" si="23"/>
        <v/>
      </c>
      <c r="BW22" s="42"/>
      <c r="BX22" s="3"/>
      <c r="BY22" s="37" t="str">
        <f t="shared" si="24"/>
        <v/>
      </c>
      <c r="BZ22" s="3"/>
      <c r="CA22" s="3"/>
      <c r="CB22" s="4"/>
      <c r="CC22" s="4"/>
      <c r="CD22" s="6"/>
      <c r="CE22" s="6"/>
      <c r="CF22" s="33" t="str">
        <f t="shared" si="25"/>
        <v/>
      </c>
      <c r="CG22" s="42"/>
      <c r="CH22" s="3"/>
      <c r="CI22" s="37" t="str">
        <f t="shared" si="26"/>
        <v/>
      </c>
      <c r="CJ22" s="3"/>
      <c r="CK22" s="3"/>
      <c r="CL22" s="4"/>
      <c r="CM22" s="4"/>
      <c r="CN22" s="6"/>
      <c r="CO22" s="6"/>
      <c r="CP22" s="33" t="str">
        <f t="shared" si="27"/>
        <v/>
      </c>
      <c r="CQ22" s="42"/>
      <c r="CR22" s="3"/>
      <c r="CS22" s="37" t="str">
        <f t="shared" si="28"/>
        <v/>
      </c>
      <c r="CT22" s="3"/>
      <c r="CU22" s="3"/>
      <c r="CV22" s="4"/>
      <c r="CW22" s="4"/>
      <c r="CX22" s="6"/>
      <c r="CY22" s="6"/>
      <c r="CZ22" s="33" t="str">
        <f t="shared" si="29"/>
        <v/>
      </c>
      <c r="DA22" s="42"/>
      <c r="DB22" s="3"/>
      <c r="DC22" s="37" t="str">
        <f t="shared" si="30"/>
        <v/>
      </c>
      <c r="DD22" s="3"/>
      <c r="DE22" s="3"/>
      <c r="DF22" s="4"/>
      <c r="DG22" s="4"/>
      <c r="DH22" s="6"/>
      <c r="DI22" s="6"/>
      <c r="DJ22" s="33" t="str">
        <f t="shared" si="31"/>
        <v/>
      </c>
      <c r="DK22" s="42"/>
      <c r="DL22" s="3"/>
      <c r="DM22" s="37" t="str">
        <f t="shared" si="32"/>
        <v/>
      </c>
      <c r="DN22" s="3"/>
      <c r="DO22" s="3"/>
      <c r="DP22" s="4"/>
      <c r="DQ22" s="4"/>
      <c r="DR22" s="6"/>
      <c r="DS22" s="6"/>
      <c r="DT22" s="33" t="str">
        <f t="shared" si="33"/>
        <v/>
      </c>
      <c r="DU22" s="42"/>
      <c r="DV22" s="3"/>
      <c r="DW22" s="37" t="str">
        <f t="shared" si="34"/>
        <v/>
      </c>
      <c r="DX22" s="3"/>
      <c r="DY22" s="3"/>
      <c r="DZ22" s="4"/>
      <c r="EA22" s="4"/>
      <c r="EB22" s="6"/>
      <c r="EC22" s="6"/>
      <c r="ED22" s="33" t="str">
        <f t="shared" si="35"/>
        <v/>
      </c>
      <c r="EE22" s="42"/>
      <c r="EF22" s="3"/>
      <c r="EG22" s="37" t="str">
        <f t="shared" si="36"/>
        <v/>
      </c>
      <c r="EH22" s="3"/>
      <c r="EI22" s="3"/>
      <c r="EJ22" s="4"/>
      <c r="EK22" s="4"/>
      <c r="EL22" s="6"/>
      <c r="EM22" s="6"/>
      <c r="EN22" s="33" t="str">
        <f t="shared" si="37"/>
        <v/>
      </c>
      <c r="EO22" s="42"/>
      <c r="EP22" s="3"/>
      <c r="EQ22" s="37" t="str">
        <f t="shared" si="38"/>
        <v/>
      </c>
      <c r="ER22" s="3"/>
      <c r="ES22" s="3"/>
    </row>
    <row r="23" spans="2:149" ht="42" customHeight="1">
      <c r="B23" s="3"/>
      <c r="C23" s="3"/>
      <c r="D23" s="4"/>
      <c r="E23" s="75" t="str">
        <f t="shared" si="0"/>
        <v>×</v>
      </c>
      <c r="F23" s="75" t="str">
        <f t="shared" si="1"/>
        <v>×</v>
      </c>
      <c r="G23" s="75" t="str">
        <f t="shared" si="2"/>
        <v>×</v>
      </c>
      <c r="H23" s="75" t="str">
        <f t="shared" si="3"/>
        <v>×</v>
      </c>
      <c r="I23" s="75" t="str">
        <f t="shared" si="4"/>
        <v>×</v>
      </c>
      <c r="J23" s="75" t="str">
        <f t="shared" si="5"/>
        <v>×</v>
      </c>
      <c r="K23" s="75" t="str">
        <f t="shared" si="6"/>
        <v>×</v>
      </c>
      <c r="L23" s="75" t="str">
        <f t="shared" si="7"/>
        <v>×</v>
      </c>
      <c r="M23" s="75" t="str">
        <f t="shared" si="8"/>
        <v>×</v>
      </c>
      <c r="N23" s="75" t="str">
        <f t="shared" si="9"/>
        <v>×</v>
      </c>
      <c r="O23" s="75" t="str">
        <f t="shared" si="10"/>
        <v>×</v>
      </c>
      <c r="P23" s="75" t="str">
        <f t="shared" si="11"/>
        <v>×</v>
      </c>
      <c r="Q23" s="76" t="e">
        <f t="shared" si="12"/>
        <v>#DIV/0!</v>
      </c>
      <c r="R23" s="4"/>
      <c r="S23" s="4"/>
      <c r="T23" s="4"/>
      <c r="U23" s="4"/>
      <c r="V23" s="77" t="e">
        <f t="shared" si="13"/>
        <v>#DIV/0!</v>
      </c>
      <c r="W23" s="77" t="e">
        <f t="shared" si="14"/>
        <v>#DIV/0!</v>
      </c>
      <c r="X23" s="77" t="e" cm="1">
        <f t="array" ref="X23">_xlfn.IFS(Q23&gt;=0.8,5,Q23&gt;=0.6,3,Q23&gt;=0.2,1,Q23&lt;0.2,0)</f>
        <v>#DIV/0!</v>
      </c>
      <c r="Y23" s="55" t="e">
        <f t="shared" si="39"/>
        <v>#DIV/0!</v>
      </c>
      <c r="Z23" s="5"/>
      <c r="AA23" s="5"/>
      <c r="AB23" s="14"/>
      <c r="AC23" s="29"/>
      <c r="AD23" s="4"/>
      <c r="AE23" s="4"/>
      <c r="AF23" s="6"/>
      <c r="AG23" s="6"/>
      <c r="AH23" s="33" t="str">
        <f t="shared" si="15"/>
        <v/>
      </c>
      <c r="AI23" s="42"/>
      <c r="AJ23" s="3"/>
      <c r="AK23" s="37" t="str">
        <f t="shared" si="16"/>
        <v/>
      </c>
      <c r="AL23" s="3"/>
      <c r="AM23" s="3"/>
      <c r="AN23" s="4"/>
      <c r="AO23" s="4"/>
      <c r="AP23" s="6"/>
      <c r="AQ23" s="6"/>
      <c r="AR23" s="33" t="str">
        <f t="shared" si="17"/>
        <v/>
      </c>
      <c r="AS23" s="42"/>
      <c r="AT23" s="3"/>
      <c r="AU23" s="37" t="str">
        <f t="shared" si="18"/>
        <v/>
      </c>
      <c r="AV23" s="3"/>
      <c r="AW23" s="3"/>
      <c r="AX23" s="4"/>
      <c r="AY23" s="4"/>
      <c r="AZ23" s="6"/>
      <c r="BA23" s="6"/>
      <c r="BB23" s="33" t="str">
        <f t="shared" si="19"/>
        <v/>
      </c>
      <c r="BC23" s="42"/>
      <c r="BD23" s="3"/>
      <c r="BE23" s="37" t="str">
        <f t="shared" si="20"/>
        <v/>
      </c>
      <c r="BF23" s="3"/>
      <c r="BG23" s="3"/>
      <c r="BH23" s="4"/>
      <c r="BI23" s="4"/>
      <c r="BJ23" s="6"/>
      <c r="BK23" s="6"/>
      <c r="BL23" s="33" t="str">
        <f t="shared" si="21"/>
        <v/>
      </c>
      <c r="BM23" s="42"/>
      <c r="BN23" s="3"/>
      <c r="BO23" s="37" t="str">
        <f t="shared" si="22"/>
        <v/>
      </c>
      <c r="BP23" s="3"/>
      <c r="BQ23" s="3"/>
      <c r="BR23" s="4"/>
      <c r="BS23" s="4"/>
      <c r="BT23" s="6"/>
      <c r="BU23" s="6"/>
      <c r="BV23" s="33" t="str">
        <f t="shared" si="23"/>
        <v/>
      </c>
      <c r="BW23" s="42"/>
      <c r="BX23" s="3"/>
      <c r="BY23" s="37" t="str">
        <f t="shared" si="24"/>
        <v/>
      </c>
      <c r="BZ23" s="3"/>
      <c r="CA23" s="3"/>
      <c r="CB23" s="4"/>
      <c r="CC23" s="4"/>
      <c r="CD23" s="6"/>
      <c r="CE23" s="6"/>
      <c r="CF23" s="33" t="str">
        <f t="shared" si="25"/>
        <v/>
      </c>
      <c r="CG23" s="42"/>
      <c r="CH23" s="3"/>
      <c r="CI23" s="37" t="str">
        <f t="shared" si="26"/>
        <v/>
      </c>
      <c r="CJ23" s="3"/>
      <c r="CK23" s="3"/>
      <c r="CL23" s="4"/>
      <c r="CM23" s="4"/>
      <c r="CN23" s="6"/>
      <c r="CO23" s="6"/>
      <c r="CP23" s="33" t="str">
        <f t="shared" si="27"/>
        <v/>
      </c>
      <c r="CQ23" s="42"/>
      <c r="CR23" s="3"/>
      <c r="CS23" s="37" t="str">
        <f t="shared" si="28"/>
        <v/>
      </c>
      <c r="CT23" s="3"/>
      <c r="CU23" s="3"/>
      <c r="CV23" s="4"/>
      <c r="CW23" s="4"/>
      <c r="CX23" s="6"/>
      <c r="CY23" s="6"/>
      <c r="CZ23" s="33" t="str">
        <f t="shared" si="29"/>
        <v/>
      </c>
      <c r="DA23" s="42"/>
      <c r="DB23" s="3"/>
      <c r="DC23" s="37" t="str">
        <f t="shared" si="30"/>
        <v/>
      </c>
      <c r="DD23" s="3"/>
      <c r="DE23" s="3"/>
      <c r="DF23" s="4"/>
      <c r="DG23" s="4"/>
      <c r="DH23" s="6"/>
      <c r="DI23" s="6"/>
      <c r="DJ23" s="33" t="str">
        <f t="shared" si="31"/>
        <v/>
      </c>
      <c r="DK23" s="42"/>
      <c r="DL23" s="3"/>
      <c r="DM23" s="37" t="str">
        <f t="shared" si="32"/>
        <v/>
      </c>
      <c r="DN23" s="3"/>
      <c r="DO23" s="3"/>
      <c r="DP23" s="4"/>
      <c r="DQ23" s="4"/>
      <c r="DR23" s="6"/>
      <c r="DS23" s="6"/>
      <c r="DT23" s="33" t="str">
        <f t="shared" si="33"/>
        <v/>
      </c>
      <c r="DU23" s="42"/>
      <c r="DV23" s="3"/>
      <c r="DW23" s="37" t="str">
        <f t="shared" si="34"/>
        <v/>
      </c>
      <c r="DX23" s="3"/>
      <c r="DY23" s="3"/>
      <c r="DZ23" s="4"/>
      <c r="EA23" s="4"/>
      <c r="EB23" s="6"/>
      <c r="EC23" s="6"/>
      <c r="ED23" s="33" t="str">
        <f t="shared" si="35"/>
        <v/>
      </c>
      <c r="EE23" s="42"/>
      <c r="EF23" s="3"/>
      <c r="EG23" s="37" t="str">
        <f t="shared" si="36"/>
        <v/>
      </c>
      <c r="EH23" s="3"/>
      <c r="EI23" s="3"/>
      <c r="EJ23" s="4"/>
      <c r="EK23" s="4"/>
      <c r="EL23" s="6"/>
      <c r="EM23" s="6"/>
      <c r="EN23" s="33" t="str">
        <f t="shared" si="37"/>
        <v/>
      </c>
      <c r="EO23" s="42"/>
      <c r="EP23" s="3"/>
      <c r="EQ23" s="37" t="str">
        <f t="shared" si="38"/>
        <v/>
      </c>
      <c r="ER23" s="3"/>
      <c r="ES23" s="3"/>
    </row>
    <row r="24" spans="2:149" ht="42" customHeight="1">
      <c r="B24" s="3"/>
      <c r="C24" s="3"/>
      <c r="D24" s="4"/>
      <c r="E24" s="75" t="str">
        <f t="shared" si="0"/>
        <v>×</v>
      </c>
      <c r="F24" s="75" t="str">
        <f t="shared" si="1"/>
        <v>×</v>
      </c>
      <c r="G24" s="75" t="str">
        <f t="shared" si="2"/>
        <v>×</v>
      </c>
      <c r="H24" s="75" t="str">
        <f t="shared" si="3"/>
        <v>×</v>
      </c>
      <c r="I24" s="75" t="str">
        <f t="shared" si="4"/>
        <v>×</v>
      </c>
      <c r="J24" s="75" t="str">
        <f t="shared" si="5"/>
        <v>×</v>
      </c>
      <c r="K24" s="75" t="str">
        <f t="shared" si="6"/>
        <v>×</v>
      </c>
      <c r="L24" s="75" t="str">
        <f t="shared" si="7"/>
        <v>×</v>
      </c>
      <c r="M24" s="75" t="str">
        <f t="shared" si="8"/>
        <v>×</v>
      </c>
      <c r="N24" s="75" t="str">
        <f t="shared" si="9"/>
        <v>×</v>
      </c>
      <c r="O24" s="75" t="str">
        <f t="shared" si="10"/>
        <v>×</v>
      </c>
      <c r="P24" s="75" t="str">
        <f t="shared" si="11"/>
        <v>×</v>
      </c>
      <c r="Q24" s="76" t="e">
        <f t="shared" si="12"/>
        <v>#DIV/0!</v>
      </c>
      <c r="R24" s="4"/>
      <c r="S24" s="4"/>
      <c r="T24" s="4"/>
      <c r="U24" s="4"/>
      <c r="V24" s="77" t="e">
        <f t="shared" si="13"/>
        <v>#DIV/0!</v>
      </c>
      <c r="W24" s="77" t="e">
        <f t="shared" si="14"/>
        <v>#DIV/0!</v>
      </c>
      <c r="X24" s="77" t="e" cm="1">
        <f t="array" ref="X24">_xlfn.IFS(Q24&gt;=0.8,5,Q24&gt;=0.6,3,Q24&gt;=0.2,1,Q24&lt;0.2,0)</f>
        <v>#DIV/0!</v>
      </c>
      <c r="Y24" s="55" t="e">
        <f t="shared" si="39"/>
        <v>#DIV/0!</v>
      </c>
      <c r="Z24" s="5"/>
      <c r="AA24" s="5"/>
      <c r="AB24" s="14"/>
      <c r="AC24" s="29"/>
      <c r="AD24" s="4"/>
      <c r="AE24" s="4"/>
      <c r="AF24" s="6"/>
      <c r="AG24" s="6"/>
      <c r="AH24" s="33" t="str">
        <f t="shared" si="15"/>
        <v/>
      </c>
      <c r="AI24" s="42"/>
      <c r="AJ24" s="3"/>
      <c r="AK24" s="37" t="str">
        <f t="shared" si="16"/>
        <v/>
      </c>
      <c r="AL24" s="3"/>
      <c r="AM24" s="3"/>
      <c r="AN24" s="4"/>
      <c r="AO24" s="4"/>
      <c r="AP24" s="6"/>
      <c r="AQ24" s="6"/>
      <c r="AR24" s="33" t="str">
        <f t="shared" si="17"/>
        <v/>
      </c>
      <c r="AS24" s="42"/>
      <c r="AT24" s="3"/>
      <c r="AU24" s="37" t="str">
        <f t="shared" si="18"/>
        <v/>
      </c>
      <c r="AV24" s="3"/>
      <c r="AW24" s="3"/>
      <c r="AX24" s="4"/>
      <c r="AY24" s="4"/>
      <c r="AZ24" s="6"/>
      <c r="BA24" s="6"/>
      <c r="BB24" s="33" t="str">
        <f t="shared" si="19"/>
        <v/>
      </c>
      <c r="BC24" s="42"/>
      <c r="BD24" s="3"/>
      <c r="BE24" s="37" t="str">
        <f t="shared" si="20"/>
        <v/>
      </c>
      <c r="BF24" s="3"/>
      <c r="BG24" s="3"/>
      <c r="BH24" s="4"/>
      <c r="BI24" s="4"/>
      <c r="BJ24" s="6"/>
      <c r="BK24" s="6"/>
      <c r="BL24" s="33" t="str">
        <f t="shared" si="21"/>
        <v/>
      </c>
      <c r="BM24" s="42"/>
      <c r="BN24" s="3"/>
      <c r="BO24" s="37" t="str">
        <f t="shared" si="22"/>
        <v/>
      </c>
      <c r="BP24" s="3"/>
      <c r="BQ24" s="3"/>
      <c r="BR24" s="4"/>
      <c r="BS24" s="4"/>
      <c r="BT24" s="6"/>
      <c r="BU24" s="6"/>
      <c r="BV24" s="33" t="str">
        <f t="shared" si="23"/>
        <v/>
      </c>
      <c r="BW24" s="42"/>
      <c r="BX24" s="3"/>
      <c r="BY24" s="37" t="str">
        <f t="shared" si="24"/>
        <v/>
      </c>
      <c r="BZ24" s="3"/>
      <c r="CA24" s="3"/>
      <c r="CB24" s="4"/>
      <c r="CC24" s="4"/>
      <c r="CD24" s="6"/>
      <c r="CE24" s="6"/>
      <c r="CF24" s="33" t="str">
        <f t="shared" si="25"/>
        <v/>
      </c>
      <c r="CG24" s="42"/>
      <c r="CH24" s="3"/>
      <c r="CI24" s="37" t="str">
        <f t="shared" si="26"/>
        <v/>
      </c>
      <c r="CJ24" s="3"/>
      <c r="CK24" s="3"/>
      <c r="CL24" s="4"/>
      <c r="CM24" s="4"/>
      <c r="CN24" s="6"/>
      <c r="CO24" s="6"/>
      <c r="CP24" s="33" t="str">
        <f t="shared" si="27"/>
        <v/>
      </c>
      <c r="CQ24" s="42"/>
      <c r="CR24" s="3"/>
      <c r="CS24" s="37" t="str">
        <f t="shared" si="28"/>
        <v/>
      </c>
      <c r="CT24" s="3"/>
      <c r="CU24" s="3"/>
      <c r="CV24" s="4"/>
      <c r="CW24" s="4"/>
      <c r="CX24" s="6"/>
      <c r="CY24" s="6"/>
      <c r="CZ24" s="33" t="str">
        <f t="shared" si="29"/>
        <v/>
      </c>
      <c r="DA24" s="42"/>
      <c r="DB24" s="3"/>
      <c r="DC24" s="37" t="str">
        <f t="shared" si="30"/>
        <v/>
      </c>
      <c r="DD24" s="3"/>
      <c r="DE24" s="3"/>
      <c r="DF24" s="4"/>
      <c r="DG24" s="4"/>
      <c r="DH24" s="6"/>
      <c r="DI24" s="6"/>
      <c r="DJ24" s="33" t="str">
        <f t="shared" si="31"/>
        <v/>
      </c>
      <c r="DK24" s="42"/>
      <c r="DL24" s="3"/>
      <c r="DM24" s="37" t="str">
        <f t="shared" si="32"/>
        <v/>
      </c>
      <c r="DN24" s="3"/>
      <c r="DO24" s="3"/>
      <c r="DP24" s="4"/>
      <c r="DQ24" s="4"/>
      <c r="DR24" s="6"/>
      <c r="DS24" s="6"/>
      <c r="DT24" s="33" t="str">
        <f t="shared" si="33"/>
        <v/>
      </c>
      <c r="DU24" s="42"/>
      <c r="DV24" s="3"/>
      <c r="DW24" s="37" t="str">
        <f t="shared" si="34"/>
        <v/>
      </c>
      <c r="DX24" s="3"/>
      <c r="DY24" s="3"/>
      <c r="DZ24" s="4"/>
      <c r="EA24" s="4"/>
      <c r="EB24" s="6"/>
      <c r="EC24" s="6"/>
      <c r="ED24" s="33" t="str">
        <f t="shared" si="35"/>
        <v/>
      </c>
      <c r="EE24" s="42"/>
      <c r="EF24" s="3"/>
      <c r="EG24" s="37" t="str">
        <f t="shared" si="36"/>
        <v/>
      </c>
      <c r="EH24" s="3"/>
      <c r="EI24" s="3"/>
      <c r="EJ24" s="4"/>
      <c r="EK24" s="4"/>
      <c r="EL24" s="6"/>
      <c r="EM24" s="6"/>
      <c r="EN24" s="33" t="str">
        <f t="shared" si="37"/>
        <v/>
      </c>
      <c r="EO24" s="42"/>
      <c r="EP24" s="3"/>
      <c r="EQ24" s="37" t="str">
        <f t="shared" si="38"/>
        <v/>
      </c>
      <c r="ER24" s="3"/>
      <c r="ES24" s="3"/>
    </row>
    <row r="25" spans="2:149" ht="42" customHeight="1">
      <c r="B25" s="3"/>
      <c r="C25" s="3"/>
      <c r="D25" s="4"/>
      <c r="E25" s="75" t="str">
        <f t="shared" si="0"/>
        <v>×</v>
      </c>
      <c r="F25" s="75" t="str">
        <f t="shared" si="1"/>
        <v>×</v>
      </c>
      <c r="G25" s="75" t="str">
        <f t="shared" si="2"/>
        <v>×</v>
      </c>
      <c r="H25" s="75" t="str">
        <f t="shared" si="3"/>
        <v>×</v>
      </c>
      <c r="I25" s="75" t="str">
        <f t="shared" si="4"/>
        <v>×</v>
      </c>
      <c r="J25" s="75" t="str">
        <f t="shared" si="5"/>
        <v>×</v>
      </c>
      <c r="K25" s="75" t="str">
        <f t="shared" si="6"/>
        <v>×</v>
      </c>
      <c r="L25" s="75" t="str">
        <f t="shared" si="7"/>
        <v>×</v>
      </c>
      <c r="M25" s="75" t="str">
        <f t="shared" si="8"/>
        <v>×</v>
      </c>
      <c r="N25" s="75" t="str">
        <f t="shared" si="9"/>
        <v>×</v>
      </c>
      <c r="O25" s="75" t="str">
        <f t="shared" si="10"/>
        <v>×</v>
      </c>
      <c r="P25" s="75" t="str">
        <f t="shared" si="11"/>
        <v>×</v>
      </c>
      <c r="Q25" s="76" t="e">
        <f t="shared" si="12"/>
        <v>#DIV/0!</v>
      </c>
      <c r="R25" s="4"/>
      <c r="S25" s="4"/>
      <c r="T25" s="4"/>
      <c r="U25" s="4"/>
      <c r="V25" s="77" t="e">
        <f t="shared" si="13"/>
        <v>#DIV/0!</v>
      </c>
      <c r="W25" s="77" t="e">
        <f t="shared" si="14"/>
        <v>#DIV/0!</v>
      </c>
      <c r="X25" s="77" t="e" cm="1">
        <f t="array" ref="X25">_xlfn.IFS(Q25&gt;=0.8,5,Q25&gt;=0.6,3,Q25&gt;=0.2,1,Q25&lt;0.2,0)</f>
        <v>#DIV/0!</v>
      </c>
      <c r="Y25" s="55" t="e">
        <f t="shared" si="39"/>
        <v>#DIV/0!</v>
      </c>
      <c r="Z25" s="5"/>
      <c r="AA25" s="5"/>
      <c r="AB25" s="14"/>
      <c r="AC25" s="29"/>
      <c r="AD25" s="4"/>
      <c r="AE25" s="4"/>
      <c r="AF25" s="6"/>
      <c r="AG25" s="6"/>
      <c r="AH25" s="33" t="str">
        <f t="shared" si="15"/>
        <v/>
      </c>
      <c r="AI25" s="42"/>
      <c r="AJ25" s="3"/>
      <c r="AK25" s="37" t="str">
        <f t="shared" si="16"/>
        <v/>
      </c>
      <c r="AL25" s="3"/>
      <c r="AM25" s="3"/>
      <c r="AN25" s="4"/>
      <c r="AO25" s="4"/>
      <c r="AP25" s="6"/>
      <c r="AQ25" s="6"/>
      <c r="AR25" s="33" t="str">
        <f t="shared" si="17"/>
        <v/>
      </c>
      <c r="AS25" s="42"/>
      <c r="AT25" s="3"/>
      <c r="AU25" s="37" t="str">
        <f t="shared" si="18"/>
        <v/>
      </c>
      <c r="AV25" s="3"/>
      <c r="AW25" s="3"/>
      <c r="AX25" s="4"/>
      <c r="AY25" s="4"/>
      <c r="AZ25" s="6"/>
      <c r="BA25" s="6"/>
      <c r="BB25" s="33" t="str">
        <f t="shared" si="19"/>
        <v/>
      </c>
      <c r="BC25" s="42"/>
      <c r="BD25" s="3"/>
      <c r="BE25" s="37" t="str">
        <f t="shared" si="20"/>
        <v/>
      </c>
      <c r="BF25" s="3"/>
      <c r="BG25" s="3"/>
      <c r="BH25" s="4"/>
      <c r="BI25" s="4"/>
      <c r="BJ25" s="6"/>
      <c r="BK25" s="6"/>
      <c r="BL25" s="33" t="str">
        <f t="shared" si="21"/>
        <v/>
      </c>
      <c r="BM25" s="42"/>
      <c r="BN25" s="3"/>
      <c r="BO25" s="37" t="str">
        <f t="shared" si="22"/>
        <v/>
      </c>
      <c r="BP25" s="3"/>
      <c r="BQ25" s="3"/>
      <c r="BR25" s="4"/>
      <c r="BS25" s="4"/>
      <c r="BT25" s="6"/>
      <c r="BU25" s="6"/>
      <c r="BV25" s="33" t="str">
        <f t="shared" si="23"/>
        <v/>
      </c>
      <c r="BW25" s="42"/>
      <c r="BX25" s="3"/>
      <c r="BY25" s="37" t="str">
        <f t="shared" si="24"/>
        <v/>
      </c>
      <c r="BZ25" s="3"/>
      <c r="CA25" s="3"/>
      <c r="CB25" s="4"/>
      <c r="CC25" s="4"/>
      <c r="CD25" s="6"/>
      <c r="CE25" s="6"/>
      <c r="CF25" s="33" t="str">
        <f t="shared" si="25"/>
        <v/>
      </c>
      <c r="CG25" s="42"/>
      <c r="CH25" s="3"/>
      <c r="CI25" s="37" t="str">
        <f t="shared" si="26"/>
        <v/>
      </c>
      <c r="CJ25" s="3"/>
      <c r="CK25" s="3"/>
      <c r="CL25" s="4"/>
      <c r="CM25" s="4"/>
      <c r="CN25" s="6"/>
      <c r="CO25" s="6"/>
      <c r="CP25" s="33" t="str">
        <f t="shared" si="27"/>
        <v/>
      </c>
      <c r="CQ25" s="42"/>
      <c r="CR25" s="3"/>
      <c r="CS25" s="37" t="str">
        <f t="shared" si="28"/>
        <v/>
      </c>
      <c r="CT25" s="3"/>
      <c r="CU25" s="3"/>
      <c r="CV25" s="4"/>
      <c r="CW25" s="4"/>
      <c r="CX25" s="6"/>
      <c r="CY25" s="6"/>
      <c r="CZ25" s="33" t="str">
        <f t="shared" si="29"/>
        <v/>
      </c>
      <c r="DA25" s="42"/>
      <c r="DB25" s="3"/>
      <c r="DC25" s="37" t="str">
        <f t="shared" si="30"/>
        <v/>
      </c>
      <c r="DD25" s="3"/>
      <c r="DE25" s="3"/>
      <c r="DF25" s="4"/>
      <c r="DG25" s="4"/>
      <c r="DH25" s="6"/>
      <c r="DI25" s="6"/>
      <c r="DJ25" s="33" t="str">
        <f t="shared" si="31"/>
        <v/>
      </c>
      <c r="DK25" s="42"/>
      <c r="DL25" s="3"/>
      <c r="DM25" s="37" t="str">
        <f t="shared" si="32"/>
        <v/>
      </c>
      <c r="DN25" s="3"/>
      <c r="DO25" s="3"/>
      <c r="DP25" s="4"/>
      <c r="DQ25" s="4"/>
      <c r="DR25" s="6"/>
      <c r="DS25" s="6"/>
      <c r="DT25" s="33" t="str">
        <f t="shared" si="33"/>
        <v/>
      </c>
      <c r="DU25" s="42"/>
      <c r="DV25" s="3"/>
      <c r="DW25" s="37" t="str">
        <f t="shared" si="34"/>
        <v/>
      </c>
      <c r="DX25" s="3"/>
      <c r="DY25" s="3"/>
      <c r="DZ25" s="4"/>
      <c r="EA25" s="4"/>
      <c r="EB25" s="6"/>
      <c r="EC25" s="6"/>
      <c r="ED25" s="33" t="str">
        <f t="shared" si="35"/>
        <v/>
      </c>
      <c r="EE25" s="42"/>
      <c r="EF25" s="3"/>
      <c r="EG25" s="37" t="str">
        <f t="shared" si="36"/>
        <v/>
      </c>
      <c r="EH25" s="3"/>
      <c r="EI25" s="3"/>
      <c r="EJ25" s="4"/>
      <c r="EK25" s="4"/>
      <c r="EL25" s="6"/>
      <c r="EM25" s="6"/>
      <c r="EN25" s="33" t="str">
        <f t="shared" si="37"/>
        <v/>
      </c>
      <c r="EO25" s="42"/>
      <c r="EP25" s="3"/>
      <c r="EQ25" s="37" t="str">
        <f t="shared" si="38"/>
        <v/>
      </c>
      <c r="ER25" s="3"/>
      <c r="ES25" s="3"/>
    </row>
    <row r="26" spans="2:149" ht="42" customHeight="1">
      <c r="B26" s="3"/>
      <c r="C26" s="3"/>
      <c r="D26" s="4">
        <v>6</v>
      </c>
      <c r="E26" s="75" t="str">
        <f t="shared" si="0"/>
        <v>×</v>
      </c>
      <c r="F26" s="75" t="str">
        <f t="shared" si="1"/>
        <v>×</v>
      </c>
      <c r="G26" s="75" t="str">
        <f t="shared" si="2"/>
        <v>×</v>
      </c>
      <c r="H26" s="75" t="str">
        <f t="shared" si="3"/>
        <v>×</v>
      </c>
      <c r="I26" s="75" t="str">
        <f t="shared" si="4"/>
        <v>×</v>
      </c>
      <c r="J26" s="75" t="str">
        <f t="shared" si="5"/>
        <v>×</v>
      </c>
      <c r="K26" s="75" t="str">
        <f t="shared" si="6"/>
        <v>×</v>
      </c>
      <c r="L26" s="75" t="str">
        <f t="shared" si="7"/>
        <v>×</v>
      </c>
      <c r="M26" s="75" t="str">
        <f t="shared" si="8"/>
        <v>×</v>
      </c>
      <c r="N26" s="75" t="str">
        <f t="shared" si="9"/>
        <v>×</v>
      </c>
      <c r="O26" s="75" t="str">
        <f t="shared" si="10"/>
        <v>×</v>
      </c>
      <c r="P26" s="75" t="str">
        <f t="shared" si="11"/>
        <v>×</v>
      </c>
      <c r="Q26" s="76">
        <f t="shared" si="12"/>
        <v>0</v>
      </c>
      <c r="R26" s="4">
        <v>3</v>
      </c>
      <c r="S26" s="4">
        <v>3</v>
      </c>
      <c r="T26" s="4">
        <v>3</v>
      </c>
      <c r="U26" s="4">
        <v>3</v>
      </c>
      <c r="V26" s="77">
        <f t="shared" si="13"/>
        <v>0</v>
      </c>
      <c r="W26" s="77">
        <f t="shared" si="14"/>
        <v>0</v>
      </c>
      <c r="X26" s="77">
        <v>1.1499999999999999</v>
      </c>
      <c r="Y26" s="55">
        <f>SUM(R26:X26)</f>
        <v>13.15</v>
      </c>
      <c r="Z26" s="5"/>
      <c r="AA26" s="5"/>
      <c r="AB26" s="14"/>
      <c r="AC26" s="29"/>
      <c r="AD26" s="4"/>
      <c r="AE26" s="4"/>
      <c r="AF26" s="6"/>
      <c r="AG26" s="6"/>
      <c r="AH26" s="33" t="str">
        <f t="shared" si="15"/>
        <v/>
      </c>
      <c r="AI26" s="42"/>
      <c r="AJ26" s="3"/>
      <c r="AK26" s="37" t="str">
        <f t="shared" si="16"/>
        <v/>
      </c>
      <c r="AL26" s="3"/>
      <c r="AM26" s="3"/>
      <c r="AN26" s="4"/>
      <c r="AO26" s="4"/>
      <c r="AP26" s="6"/>
      <c r="AQ26" s="6"/>
      <c r="AR26" s="33" t="str">
        <f t="shared" si="17"/>
        <v/>
      </c>
      <c r="AS26" s="42"/>
      <c r="AT26" s="3"/>
      <c r="AU26" s="37" t="str">
        <f t="shared" si="18"/>
        <v/>
      </c>
      <c r="AV26" s="3"/>
      <c r="AW26" s="3"/>
      <c r="AX26" s="4"/>
      <c r="AY26" s="4"/>
      <c r="AZ26" s="6"/>
      <c r="BA26" s="6"/>
      <c r="BB26" s="33" t="str">
        <f t="shared" si="19"/>
        <v/>
      </c>
      <c r="BC26" s="42"/>
      <c r="BD26" s="3"/>
      <c r="BE26" s="37" t="str">
        <f t="shared" si="20"/>
        <v/>
      </c>
      <c r="BF26" s="3"/>
      <c r="BG26" s="3"/>
      <c r="BH26" s="4"/>
      <c r="BI26" s="4"/>
      <c r="BJ26" s="6"/>
      <c r="BK26" s="6"/>
      <c r="BL26" s="33" t="str">
        <f t="shared" si="21"/>
        <v/>
      </c>
      <c r="BM26" s="42"/>
      <c r="BN26" s="3"/>
      <c r="BO26" s="37" t="str">
        <f t="shared" si="22"/>
        <v/>
      </c>
      <c r="BP26" s="3"/>
      <c r="BQ26" s="3"/>
      <c r="BR26" s="4"/>
      <c r="BS26" s="4"/>
      <c r="BT26" s="6"/>
      <c r="BU26" s="6"/>
      <c r="BV26" s="33" t="str">
        <f t="shared" si="23"/>
        <v/>
      </c>
      <c r="BW26" s="42"/>
      <c r="BX26" s="3"/>
      <c r="BY26" s="37" t="str">
        <f t="shared" si="24"/>
        <v/>
      </c>
      <c r="BZ26" s="3"/>
      <c r="CA26" s="3"/>
      <c r="CB26" s="4"/>
      <c r="CC26" s="4"/>
      <c r="CD26" s="6"/>
      <c r="CE26" s="6"/>
      <c r="CF26" s="33" t="str">
        <f t="shared" si="25"/>
        <v/>
      </c>
      <c r="CG26" s="42"/>
      <c r="CH26" s="3"/>
      <c r="CI26" s="37" t="str">
        <f t="shared" si="26"/>
        <v/>
      </c>
      <c r="CJ26" s="3"/>
      <c r="CK26" s="3"/>
      <c r="CL26" s="4"/>
      <c r="CM26" s="4"/>
      <c r="CN26" s="6"/>
      <c r="CO26" s="6"/>
      <c r="CP26" s="33" t="str">
        <f t="shared" si="27"/>
        <v/>
      </c>
      <c r="CQ26" s="42"/>
      <c r="CR26" s="3"/>
      <c r="CS26" s="37" t="str">
        <f t="shared" si="28"/>
        <v/>
      </c>
      <c r="CT26" s="3"/>
      <c r="CU26" s="3"/>
      <c r="CV26" s="4"/>
      <c r="CW26" s="4"/>
      <c r="CX26" s="6"/>
      <c r="CY26" s="6"/>
      <c r="CZ26" s="33" t="str">
        <f t="shared" si="29"/>
        <v/>
      </c>
      <c r="DA26" s="42"/>
      <c r="DB26" s="3"/>
      <c r="DC26" s="37" t="str">
        <f t="shared" si="30"/>
        <v/>
      </c>
      <c r="DD26" s="3"/>
      <c r="DE26" s="3"/>
      <c r="DF26" s="4"/>
      <c r="DG26" s="4"/>
      <c r="DH26" s="6"/>
      <c r="DI26" s="6"/>
      <c r="DJ26" s="33" t="str">
        <f t="shared" si="31"/>
        <v/>
      </c>
      <c r="DK26" s="42"/>
      <c r="DL26" s="3"/>
      <c r="DM26" s="37" t="str">
        <f t="shared" si="32"/>
        <v/>
      </c>
      <c r="DN26" s="3"/>
      <c r="DO26" s="3"/>
      <c r="DP26" s="4"/>
      <c r="DQ26" s="4"/>
      <c r="DR26" s="6"/>
      <c r="DS26" s="6"/>
      <c r="DT26" s="33" t="str">
        <f t="shared" si="33"/>
        <v/>
      </c>
      <c r="DU26" s="42"/>
      <c r="DV26" s="3"/>
      <c r="DW26" s="37" t="str">
        <f t="shared" si="34"/>
        <v/>
      </c>
      <c r="DX26" s="3"/>
      <c r="DY26" s="3"/>
      <c r="DZ26" s="4"/>
      <c r="EA26" s="4"/>
      <c r="EB26" s="6"/>
      <c r="EC26" s="6"/>
      <c r="ED26" s="33" t="str">
        <f t="shared" si="35"/>
        <v/>
      </c>
      <c r="EE26" s="42"/>
      <c r="EF26" s="3"/>
      <c r="EG26" s="37" t="str">
        <f t="shared" si="36"/>
        <v/>
      </c>
      <c r="EH26" s="3"/>
      <c r="EI26" s="3"/>
      <c r="EJ26" s="4"/>
      <c r="EK26" s="4"/>
      <c r="EL26" s="6"/>
      <c r="EM26" s="6"/>
      <c r="EN26" s="33" t="str">
        <f t="shared" si="37"/>
        <v/>
      </c>
      <c r="EO26" s="42"/>
      <c r="EP26" s="3"/>
      <c r="EQ26" s="37" t="str">
        <f t="shared" si="38"/>
        <v/>
      </c>
      <c r="ER26" s="3"/>
      <c r="ES26" s="3"/>
    </row>
    <row r="27" spans="2:149" ht="42" customHeight="1">
      <c r="B27" s="3"/>
      <c r="C27" s="3"/>
      <c r="D27" s="4"/>
      <c r="E27" s="75" t="str">
        <f t="shared" si="0"/>
        <v>×</v>
      </c>
      <c r="F27" s="75" t="str">
        <f t="shared" si="1"/>
        <v>×</v>
      </c>
      <c r="G27" s="75" t="str">
        <f t="shared" si="2"/>
        <v>×</v>
      </c>
      <c r="H27" s="75" t="str">
        <f t="shared" si="3"/>
        <v>×</v>
      </c>
      <c r="I27" s="75" t="str">
        <f t="shared" si="4"/>
        <v>×</v>
      </c>
      <c r="J27" s="75" t="str">
        <f t="shared" si="5"/>
        <v>×</v>
      </c>
      <c r="K27" s="75" t="str">
        <f t="shared" si="6"/>
        <v>×</v>
      </c>
      <c r="L27" s="75" t="str">
        <f t="shared" si="7"/>
        <v>×</v>
      </c>
      <c r="M27" s="75" t="str">
        <f t="shared" si="8"/>
        <v>×</v>
      </c>
      <c r="N27" s="75" t="str">
        <f t="shared" si="9"/>
        <v>×</v>
      </c>
      <c r="O27" s="75" t="str">
        <f t="shared" si="10"/>
        <v>×</v>
      </c>
      <c r="P27" s="75" t="str">
        <f t="shared" si="11"/>
        <v>×</v>
      </c>
      <c r="Q27" s="76" t="e">
        <f t="shared" si="12"/>
        <v>#DIV/0!</v>
      </c>
      <c r="R27" s="4"/>
      <c r="S27" s="4"/>
      <c r="T27" s="4"/>
      <c r="U27" s="4"/>
      <c r="V27" s="77" t="e">
        <f t="shared" si="13"/>
        <v>#DIV/0!</v>
      </c>
      <c r="W27" s="77" t="e">
        <f t="shared" si="14"/>
        <v>#DIV/0!</v>
      </c>
      <c r="X27" s="77" t="e" cm="1">
        <f t="array" ref="X27">_xlfn.IFS(Q27&gt;=0.8,5,Q27&gt;=0.6,3,Q27&gt;=0.2,1,Q27&lt;0.2,0)</f>
        <v>#DIV/0!</v>
      </c>
      <c r="Y27" s="55" t="e">
        <f t="shared" si="39"/>
        <v>#DIV/0!</v>
      </c>
      <c r="Z27" s="5"/>
      <c r="AA27" s="5"/>
      <c r="AB27" s="14"/>
      <c r="AC27" s="29"/>
      <c r="AD27" s="4"/>
      <c r="AE27" s="4"/>
      <c r="AF27" s="6"/>
      <c r="AG27" s="6"/>
      <c r="AH27" s="33" t="str">
        <f t="shared" si="15"/>
        <v/>
      </c>
      <c r="AI27" s="42"/>
      <c r="AJ27" s="3"/>
      <c r="AK27" s="37" t="str">
        <f t="shared" si="16"/>
        <v/>
      </c>
      <c r="AL27" s="3"/>
      <c r="AM27" s="3"/>
      <c r="AN27" s="4"/>
      <c r="AO27" s="4"/>
      <c r="AP27" s="6"/>
      <c r="AQ27" s="6"/>
      <c r="AR27" s="33" t="str">
        <f t="shared" si="17"/>
        <v/>
      </c>
      <c r="AS27" s="42"/>
      <c r="AT27" s="3"/>
      <c r="AU27" s="37" t="str">
        <f t="shared" si="18"/>
        <v/>
      </c>
      <c r="AV27" s="3"/>
      <c r="AW27" s="3"/>
      <c r="AX27" s="4"/>
      <c r="AY27" s="4"/>
      <c r="AZ27" s="6"/>
      <c r="BA27" s="6"/>
      <c r="BB27" s="33" t="str">
        <f t="shared" si="19"/>
        <v/>
      </c>
      <c r="BC27" s="42"/>
      <c r="BD27" s="3"/>
      <c r="BE27" s="37" t="str">
        <f t="shared" si="20"/>
        <v/>
      </c>
      <c r="BF27" s="3"/>
      <c r="BG27" s="3"/>
      <c r="BH27" s="4"/>
      <c r="BI27" s="4"/>
      <c r="BJ27" s="6"/>
      <c r="BK27" s="6"/>
      <c r="BL27" s="33" t="str">
        <f t="shared" si="21"/>
        <v/>
      </c>
      <c r="BM27" s="42"/>
      <c r="BN27" s="3"/>
      <c r="BO27" s="37" t="str">
        <f t="shared" si="22"/>
        <v/>
      </c>
      <c r="BP27" s="3"/>
      <c r="BQ27" s="3"/>
      <c r="BR27" s="4"/>
      <c r="BS27" s="4"/>
      <c r="BT27" s="6"/>
      <c r="BU27" s="6"/>
      <c r="BV27" s="33" t="str">
        <f t="shared" si="23"/>
        <v/>
      </c>
      <c r="BW27" s="42"/>
      <c r="BX27" s="3"/>
      <c r="BY27" s="37" t="str">
        <f t="shared" si="24"/>
        <v/>
      </c>
      <c r="BZ27" s="3"/>
      <c r="CA27" s="3"/>
      <c r="CB27" s="4"/>
      <c r="CC27" s="4"/>
      <c r="CD27" s="6"/>
      <c r="CE27" s="6"/>
      <c r="CF27" s="33" t="str">
        <f t="shared" si="25"/>
        <v/>
      </c>
      <c r="CG27" s="42"/>
      <c r="CH27" s="3"/>
      <c r="CI27" s="37" t="str">
        <f t="shared" si="26"/>
        <v/>
      </c>
      <c r="CJ27" s="3"/>
      <c r="CK27" s="3"/>
      <c r="CL27" s="4"/>
      <c r="CM27" s="4"/>
      <c r="CN27" s="6"/>
      <c r="CO27" s="6"/>
      <c r="CP27" s="33" t="str">
        <f t="shared" si="27"/>
        <v/>
      </c>
      <c r="CQ27" s="42"/>
      <c r="CR27" s="3"/>
      <c r="CS27" s="37" t="str">
        <f t="shared" si="28"/>
        <v/>
      </c>
      <c r="CT27" s="3"/>
      <c r="CU27" s="3"/>
      <c r="CV27" s="4"/>
      <c r="CW27" s="4"/>
      <c r="CX27" s="6"/>
      <c r="CY27" s="6"/>
      <c r="CZ27" s="33" t="str">
        <f t="shared" si="29"/>
        <v/>
      </c>
      <c r="DA27" s="42"/>
      <c r="DB27" s="3"/>
      <c r="DC27" s="37" t="str">
        <f t="shared" si="30"/>
        <v/>
      </c>
      <c r="DD27" s="3"/>
      <c r="DE27" s="3"/>
      <c r="DF27" s="4"/>
      <c r="DG27" s="4"/>
      <c r="DH27" s="6"/>
      <c r="DI27" s="6"/>
      <c r="DJ27" s="33" t="str">
        <f t="shared" si="31"/>
        <v/>
      </c>
      <c r="DK27" s="42"/>
      <c r="DL27" s="3"/>
      <c r="DM27" s="37" t="str">
        <f t="shared" si="32"/>
        <v/>
      </c>
      <c r="DN27" s="3"/>
      <c r="DO27" s="3"/>
      <c r="DP27" s="4"/>
      <c r="DQ27" s="4"/>
      <c r="DR27" s="6"/>
      <c r="DS27" s="6"/>
      <c r="DT27" s="33" t="str">
        <f t="shared" si="33"/>
        <v/>
      </c>
      <c r="DU27" s="42"/>
      <c r="DV27" s="3"/>
      <c r="DW27" s="37" t="str">
        <f t="shared" si="34"/>
        <v/>
      </c>
      <c r="DX27" s="3"/>
      <c r="DY27" s="3"/>
      <c r="DZ27" s="4"/>
      <c r="EA27" s="4"/>
      <c r="EB27" s="6"/>
      <c r="EC27" s="6"/>
      <c r="ED27" s="33" t="str">
        <f t="shared" si="35"/>
        <v/>
      </c>
      <c r="EE27" s="42"/>
      <c r="EF27" s="3"/>
      <c r="EG27" s="37" t="str">
        <f t="shared" si="36"/>
        <v/>
      </c>
      <c r="EH27" s="3"/>
      <c r="EI27" s="3"/>
      <c r="EJ27" s="4"/>
      <c r="EK27" s="4"/>
      <c r="EL27" s="6"/>
      <c r="EM27" s="6"/>
      <c r="EN27" s="33" t="str">
        <f t="shared" si="37"/>
        <v/>
      </c>
      <c r="EO27" s="42"/>
      <c r="EP27" s="3"/>
      <c r="EQ27" s="37" t="str">
        <f t="shared" si="38"/>
        <v/>
      </c>
      <c r="ER27" s="3"/>
      <c r="ES27" s="3"/>
    </row>
    <row r="28" spans="2:149" ht="42" customHeight="1">
      <c r="B28" s="3"/>
      <c r="C28" s="3"/>
      <c r="D28" s="4"/>
      <c r="E28" s="75" t="str">
        <f t="shared" si="0"/>
        <v>×</v>
      </c>
      <c r="F28" s="75" t="str">
        <f t="shared" si="1"/>
        <v>×</v>
      </c>
      <c r="G28" s="75" t="str">
        <f t="shared" si="2"/>
        <v>×</v>
      </c>
      <c r="H28" s="75" t="str">
        <f t="shared" si="3"/>
        <v>×</v>
      </c>
      <c r="I28" s="75" t="str">
        <f t="shared" si="4"/>
        <v>×</v>
      </c>
      <c r="J28" s="75" t="str">
        <f t="shared" si="5"/>
        <v>×</v>
      </c>
      <c r="K28" s="75" t="str">
        <f t="shared" si="6"/>
        <v>×</v>
      </c>
      <c r="L28" s="75" t="str">
        <f t="shared" si="7"/>
        <v>×</v>
      </c>
      <c r="M28" s="75" t="str">
        <f t="shared" si="8"/>
        <v>×</v>
      </c>
      <c r="N28" s="75" t="str">
        <f t="shared" si="9"/>
        <v>×</v>
      </c>
      <c r="O28" s="75" t="str">
        <f t="shared" si="10"/>
        <v>×</v>
      </c>
      <c r="P28" s="75" t="str">
        <f t="shared" si="11"/>
        <v>×</v>
      </c>
      <c r="Q28" s="76" t="e">
        <f t="shared" si="12"/>
        <v>#DIV/0!</v>
      </c>
      <c r="R28" s="4"/>
      <c r="S28" s="4"/>
      <c r="T28" s="4"/>
      <c r="U28" s="4"/>
      <c r="V28" s="77" t="e">
        <f t="shared" si="13"/>
        <v>#DIV/0!</v>
      </c>
      <c r="W28" s="77" t="e">
        <f t="shared" si="14"/>
        <v>#DIV/0!</v>
      </c>
      <c r="X28" s="77" t="e" cm="1">
        <f t="array" ref="X28">_xlfn.IFS(Q28&gt;=0.8,5,Q28&gt;=0.6,3,Q28&gt;=0.2,1,Q28&lt;0.2,0)</f>
        <v>#DIV/0!</v>
      </c>
      <c r="Y28" s="55" t="e">
        <f t="shared" si="39"/>
        <v>#DIV/0!</v>
      </c>
      <c r="Z28" s="5"/>
      <c r="AA28" s="5"/>
      <c r="AB28" s="14"/>
      <c r="AC28" s="29"/>
      <c r="AD28" s="4"/>
      <c r="AE28" s="4"/>
      <c r="AF28" s="6"/>
      <c r="AG28" s="6"/>
      <c r="AH28" s="33" t="str">
        <f t="shared" si="15"/>
        <v/>
      </c>
      <c r="AI28" s="42"/>
      <c r="AJ28" s="3"/>
      <c r="AK28" s="37" t="str">
        <f t="shared" si="16"/>
        <v/>
      </c>
      <c r="AL28" s="3"/>
      <c r="AM28" s="3"/>
      <c r="AN28" s="4"/>
      <c r="AO28" s="4"/>
      <c r="AP28" s="6"/>
      <c r="AQ28" s="6"/>
      <c r="AR28" s="33" t="str">
        <f t="shared" si="17"/>
        <v/>
      </c>
      <c r="AS28" s="42"/>
      <c r="AT28" s="3"/>
      <c r="AU28" s="37" t="str">
        <f t="shared" si="18"/>
        <v/>
      </c>
      <c r="AV28" s="3"/>
      <c r="AW28" s="3"/>
      <c r="AX28" s="4"/>
      <c r="AY28" s="4"/>
      <c r="AZ28" s="6"/>
      <c r="BA28" s="6"/>
      <c r="BB28" s="33" t="str">
        <f t="shared" si="19"/>
        <v/>
      </c>
      <c r="BC28" s="42"/>
      <c r="BD28" s="3"/>
      <c r="BE28" s="37" t="str">
        <f t="shared" si="20"/>
        <v/>
      </c>
      <c r="BF28" s="3"/>
      <c r="BG28" s="3"/>
      <c r="BH28" s="4"/>
      <c r="BI28" s="4"/>
      <c r="BJ28" s="6"/>
      <c r="BK28" s="6"/>
      <c r="BL28" s="33" t="str">
        <f t="shared" si="21"/>
        <v/>
      </c>
      <c r="BM28" s="42"/>
      <c r="BN28" s="3"/>
      <c r="BO28" s="37" t="str">
        <f t="shared" si="22"/>
        <v/>
      </c>
      <c r="BP28" s="3"/>
      <c r="BQ28" s="3"/>
      <c r="BR28" s="4"/>
      <c r="BS28" s="4"/>
      <c r="BT28" s="6"/>
      <c r="BU28" s="6"/>
      <c r="BV28" s="33" t="str">
        <f t="shared" si="23"/>
        <v/>
      </c>
      <c r="BW28" s="42"/>
      <c r="BX28" s="3"/>
      <c r="BY28" s="37" t="str">
        <f t="shared" si="24"/>
        <v/>
      </c>
      <c r="BZ28" s="3"/>
      <c r="CA28" s="3"/>
      <c r="CB28" s="4"/>
      <c r="CC28" s="4"/>
      <c r="CD28" s="6"/>
      <c r="CE28" s="6"/>
      <c r="CF28" s="33" t="str">
        <f t="shared" si="25"/>
        <v/>
      </c>
      <c r="CG28" s="42"/>
      <c r="CH28" s="3"/>
      <c r="CI28" s="37" t="str">
        <f t="shared" si="26"/>
        <v/>
      </c>
      <c r="CJ28" s="3"/>
      <c r="CK28" s="3"/>
      <c r="CL28" s="4"/>
      <c r="CM28" s="4"/>
      <c r="CN28" s="6"/>
      <c r="CO28" s="6"/>
      <c r="CP28" s="33" t="str">
        <f t="shared" si="27"/>
        <v/>
      </c>
      <c r="CQ28" s="42"/>
      <c r="CR28" s="3"/>
      <c r="CS28" s="37" t="str">
        <f t="shared" si="28"/>
        <v/>
      </c>
      <c r="CT28" s="3"/>
      <c r="CU28" s="3"/>
      <c r="CV28" s="4"/>
      <c r="CW28" s="4"/>
      <c r="CX28" s="6"/>
      <c r="CY28" s="6"/>
      <c r="CZ28" s="33" t="str">
        <f t="shared" si="29"/>
        <v/>
      </c>
      <c r="DA28" s="42"/>
      <c r="DB28" s="3"/>
      <c r="DC28" s="37" t="str">
        <f t="shared" si="30"/>
        <v/>
      </c>
      <c r="DD28" s="3"/>
      <c r="DE28" s="3"/>
      <c r="DF28" s="4"/>
      <c r="DG28" s="4"/>
      <c r="DH28" s="6"/>
      <c r="DI28" s="6"/>
      <c r="DJ28" s="33" t="str">
        <f t="shared" si="31"/>
        <v/>
      </c>
      <c r="DK28" s="42"/>
      <c r="DL28" s="3"/>
      <c r="DM28" s="37" t="str">
        <f t="shared" si="32"/>
        <v/>
      </c>
      <c r="DN28" s="3"/>
      <c r="DO28" s="3"/>
      <c r="DP28" s="4"/>
      <c r="DQ28" s="4"/>
      <c r="DR28" s="6"/>
      <c r="DS28" s="6"/>
      <c r="DT28" s="33" t="str">
        <f t="shared" si="33"/>
        <v/>
      </c>
      <c r="DU28" s="42"/>
      <c r="DV28" s="3"/>
      <c r="DW28" s="37" t="str">
        <f t="shared" si="34"/>
        <v/>
      </c>
      <c r="DX28" s="3"/>
      <c r="DY28" s="3"/>
      <c r="DZ28" s="4"/>
      <c r="EA28" s="4"/>
      <c r="EB28" s="6"/>
      <c r="EC28" s="6"/>
      <c r="ED28" s="33" t="str">
        <f t="shared" si="35"/>
        <v/>
      </c>
      <c r="EE28" s="42"/>
      <c r="EF28" s="3"/>
      <c r="EG28" s="37" t="str">
        <f t="shared" si="36"/>
        <v/>
      </c>
      <c r="EH28" s="3"/>
      <c r="EI28" s="3"/>
      <c r="EJ28" s="4"/>
      <c r="EK28" s="4"/>
      <c r="EL28" s="6"/>
      <c r="EM28" s="6"/>
      <c r="EN28" s="33" t="str">
        <f t="shared" si="37"/>
        <v/>
      </c>
      <c r="EO28" s="42"/>
      <c r="EP28" s="3"/>
      <c r="EQ28" s="37" t="str">
        <f t="shared" si="38"/>
        <v/>
      </c>
      <c r="ER28" s="3"/>
      <c r="ES28" s="3"/>
    </row>
    <row r="29" spans="2:149" ht="42" customHeight="1">
      <c r="B29" s="3"/>
      <c r="C29" s="3"/>
      <c r="D29" s="4"/>
      <c r="E29" s="75" t="str">
        <f t="shared" si="0"/>
        <v>×</v>
      </c>
      <c r="F29" s="75" t="str">
        <f t="shared" si="1"/>
        <v>×</v>
      </c>
      <c r="G29" s="75" t="str">
        <f t="shared" si="2"/>
        <v>×</v>
      </c>
      <c r="H29" s="75" t="str">
        <f t="shared" si="3"/>
        <v>×</v>
      </c>
      <c r="I29" s="75" t="str">
        <f t="shared" si="4"/>
        <v>×</v>
      </c>
      <c r="J29" s="75" t="str">
        <f t="shared" si="5"/>
        <v>×</v>
      </c>
      <c r="K29" s="75" t="str">
        <f t="shared" si="6"/>
        <v>×</v>
      </c>
      <c r="L29" s="75" t="str">
        <f t="shared" si="7"/>
        <v>×</v>
      </c>
      <c r="M29" s="75" t="str">
        <f t="shared" si="8"/>
        <v>×</v>
      </c>
      <c r="N29" s="75" t="str">
        <f t="shared" si="9"/>
        <v>×</v>
      </c>
      <c r="O29" s="75" t="str">
        <f t="shared" si="10"/>
        <v>×</v>
      </c>
      <c r="P29" s="75" t="str">
        <f t="shared" si="11"/>
        <v>×</v>
      </c>
      <c r="Q29" s="76" t="e">
        <f t="shared" si="12"/>
        <v>#DIV/0!</v>
      </c>
      <c r="R29" s="4"/>
      <c r="S29" s="4"/>
      <c r="T29" s="4"/>
      <c r="U29" s="4"/>
      <c r="V29" s="77" t="e">
        <f t="shared" si="13"/>
        <v>#DIV/0!</v>
      </c>
      <c r="W29" s="77" t="e">
        <f t="shared" si="14"/>
        <v>#DIV/0!</v>
      </c>
      <c r="X29" s="77" t="e" cm="1">
        <f t="array" ref="X29">_xlfn.IFS(Q29&gt;=0.8,5,Q29&gt;=0.6,3,Q29&gt;=0.2,1,Q29&lt;0.2,0)</f>
        <v>#DIV/0!</v>
      </c>
      <c r="Y29" s="55" t="e">
        <f t="shared" si="39"/>
        <v>#DIV/0!</v>
      </c>
      <c r="Z29" s="5"/>
      <c r="AA29" s="5"/>
      <c r="AB29" s="14"/>
      <c r="AC29" s="29"/>
      <c r="AD29" s="4"/>
      <c r="AE29" s="4"/>
      <c r="AF29" s="6"/>
      <c r="AG29" s="6"/>
      <c r="AH29" s="33" t="str">
        <f t="shared" si="15"/>
        <v/>
      </c>
      <c r="AI29" s="42"/>
      <c r="AJ29" s="3"/>
      <c r="AK29" s="37" t="str">
        <f t="shared" si="16"/>
        <v/>
      </c>
      <c r="AL29" s="3"/>
      <c r="AM29" s="3"/>
      <c r="AN29" s="4"/>
      <c r="AO29" s="4"/>
      <c r="AP29" s="6"/>
      <c r="AQ29" s="6"/>
      <c r="AR29" s="33" t="str">
        <f t="shared" si="17"/>
        <v/>
      </c>
      <c r="AS29" s="42"/>
      <c r="AT29" s="3"/>
      <c r="AU29" s="37" t="str">
        <f t="shared" si="18"/>
        <v/>
      </c>
      <c r="AV29" s="3"/>
      <c r="AW29" s="3"/>
      <c r="AX29" s="4"/>
      <c r="AY29" s="4"/>
      <c r="AZ29" s="6"/>
      <c r="BA29" s="6"/>
      <c r="BB29" s="33" t="str">
        <f t="shared" si="19"/>
        <v/>
      </c>
      <c r="BC29" s="42"/>
      <c r="BD29" s="3"/>
      <c r="BE29" s="37" t="str">
        <f t="shared" si="20"/>
        <v/>
      </c>
      <c r="BF29" s="3"/>
      <c r="BG29" s="3"/>
      <c r="BH29" s="4"/>
      <c r="BI29" s="4"/>
      <c r="BJ29" s="6"/>
      <c r="BK29" s="6"/>
      <c r="BL29" s="33" t="str">
        <f t="shared" si="21"/>
        <v/>
      </c>
      <c r="BM29" s="42"/>
      <c r="BN29" s="3"/>
      <c r="BO29" s="37" t="str">
        <f t="shared" si="22"/>
        <v/>
      </c>
      <c r="BP29" s="3"/>
      <c r="BQ29" s="3"/>
      <c r="BR29" s="4"/>
      <c r="BS29" s="4"/>
      <c r="BT29" s="6"/>
      <c r="BU29" s="6"/>
      <c r="BV29" s="33" t="str">
        <f t="shared" si="23"/>
        <v/>
      </c>
      <c r="BW29" s="42"/>
      <c r="BX29" s="3"/>
      <c r="BY29" s="37" t="str">
        <f t="shared" si="24"/>
        <v/>
      </c>
      <c r="BZ29" s="3"/>
      <c r="CA29" s="3"/>
      <c r="CB29" s="4"/>
      <c r="CC29" s="4"/>
      <c r="CD29" s="6"/>
      <c r="CE29" s="6"/>
      <c r="CF29" s="33" t="str">
        <f t="shared" si="25"/>
        <v/>
      </c>
      <c r="CG29" s="42"/>
      <c r="CH29" s="3"/>
      <c r="CI29" s="37" t="str">
        <f t="shared" si="26"/>
        <v/>
      </c>
      <c r="CJ29" s="3"/>
      <c r="CK29" s="3"/>
      <c r="CL29" s="4"/>
      <c r="CM29" s="4"/>
      <c r="CN29" s="6"/>
      <c r="CO29" s="6"/>
      <c r="CP29" s="33" t="str">
        <f t="shared" si="27"/>
        <v/>
      </c>
      <c r="CQ29" s="42"/>
      <c r="CR29" s="3"/>
      <c r="CS29" s="37" t="str">
        <f t="shared" si="28"/>
        <v/>
      </c>
      <c r="CT29" s="3"/>
      <c r="CU29" s="3"/>
      <c r="CV29" s="4"/>
      <c r="CW29" s="4"/>
      <c r="CX29" s="6"/>
      <c r="CY29" s="6"/>
      <c r="CZ29" s="33" t="str">
        <f t="shared" si="29"/>
        <v/>
      </c>
      <c r="DA29" s="42"/>
      <c r="DB29" s="3"/>
      <c r="DC29" s="37" t="str">
        <f t="shared" si="30"/>
        <v/>
      </c>
      <c r="DD29" s="3"/>
      <c r="DE29" s="3"/>
      <c r="DF29" s="4"/>
      <c r="DG29" s="4"/>
      <c r="DH29" s="6"/>
      <c r="DI29" s="6"/>
      <c r="DJ29" s="33" t="str">
        <f t="shared" si="31"/>
        <v/>
      </c>
      <c r="DK29" s="42"/>
      <c r="DL29" s="3"/>
      <c r="DM29" s="37" t="str">
        <f t="shared" si="32"/>
        <v/>
      </c>
      <c r="DN29" s="3"/>
      <c r="DO29" s="3"/>
      <c r="DP29" s="4"/>
      <c r="DQ29" s="4"/>
      <c r="DR29" s="6"/>
      <c r="DS29" s="6"/>
      <c r="DT29" s="33" t="str">
        <f t="shared" si="33"/>
        <v/>
      </c>
      <c r="DU29" s="42"/>
      <c r="DV29" s="3"/>
      <c r="DW29" s="37" t="str">
        <f t="shared" si="34"/>
        <v/>
      </c>
      <c r="DX29" s="3"/>
      <c r="DY29" s="3"/>
      <c r="DZ29" s="4"/>
      <c r="EA29" s="4"/>
      <c r="EB29" s="6"/>
      <c r="EC29" s="6"/>
      <c r="ED29" s="33" t="str">
        <f t="shared" si="35"/>
        <v/>
      </c>
      <c r="EE29" s="42"/>
      <c r="EF29" s="3"/>
      <c r="EG29" s="37" t="str">
        <f t="shared" si="36"/>
        <v/>
      </c>
      <c r="EH29" s="3"/>
      <c r="EI29" s="3"/>
      <c r="EJ29" s="4"/>
      <c r="EK29" s="4"/>
      <c r="EL29" s="6"/>
      <c r="EM29" s="6"/>
      <c r="EN29" s="33" t="str">
        <f t="shared" si="37"/>
        <v/>
      </c>
      <c r="EO29" s="42"/>
      <c r="EP29" s="3"/>
      <c r="EQ29" s="37" t="str">
        <f t="shared" si="38"/>
        <v/>
      </c>
      <c r="ER29" s="3"/>
      <c r="ES29" s="3"/>
    </row>
    <row r="30" spans="2:149" ht="42" customHeight="1">
      <c r="B30" s="3"/>
      <c r="C30" s="3"/>
      <c r="D30" s="4"/>
      <c r="E30" s="75" t="str">
        <f t="shared" si="0"/>
        <v>×</v>
      </c>
      <c r="F30" s="75" t="str">
        <f t="shared" si="1"/>
        <v>×</v>
      </c>
      <c r="G30" s="75" t="str">
        <f t="shared" si="2"/>
        <v>×</v>
      </c>
      <c r="H30" s="75" t="str">
        <f t="shared" si="3"/>
        <v>×</v>
      </c>
      <c r="I30" s="75" t="str">
        <f t="shared" si="4"/>
        <v>×</v>
      </c>
      <c r="J30" s="75" t="str">
        <f t="shared" si="5"/>
        <v>×</v>
      </c>
      <c r="K30" s="75" t="str">
        <f t="shared" si="6"/>
        <v>×</v>
      </c>
      <c r="L30" s="75" t="str">
        <f t="shared" si="7"/>
        <v>×</v>
      </c>
      <c r="M30" s="75" t="str">
        <f t="shared" si="8"/>
        <v>×</v>
      </c>
      <c r="N30" s="75" t="str">
        <f t="shared" si="9"/>
        <v>×</v>
      </c>
      <c r="O30" s="75" t="str">
        <f t="shared" si="10"/>
        <v>×</v>
      </c>
      <c r="P30" s="75" t="str">
        <f t="shared" si="11"/>
        <v>×</v>
      </c>
      <c r="Q30" s="76" t="e">
        <f t="shared" si="12"/>
        <v>#DIV/0!</v>
      </c>
      <c r="R30" s="4"/>
      <c r="S30" s="4"/>
      <c r="T30" s="4"/>
      <c r="U30" s="4"/>
      <c r="V30" s="77" t="e">
        <f t="shared" si="13"/>
        <v>#DIV/0!</v>
      </c>
      <c r="W30" s="77" t="e">
        <f t="shared" si="14"/>
        <v>#DIV/0!</v>
      </c>
      <c r="X30" s="77" t="e" cm="1">
        <f t="array" ref="X30">_xlfn.IFS(Q30&gt;=0.8,5,Q30&gt;=0.6,3,Q30&gt;=0.2,1,Q30&lt;0.2,0)</f>
        <v>#DIV/0!</v>
      </c>
      <c r="Y30" s="55" t="e">
        <f t="shared" si="39"/>
        <v>#DIV/0!</v>
      </c>
      <c r="Z30" s="5"/>
      <c r="AA30" s="5"/>
      <c r="AB30" s="14"/>
      <c r="AC30" s="29"/>
      <c r="AD30" s="4"/>
      <c r="AE30" s="4"/>
      <c r="AF30" s="6"/>
      <c r="AG30" s="6"/>
      <c r="AH30" s="33" t="str">
        <f t="shared" si="15"/>
        <v/>
      </c>
      <c r="AI30" s="42"/>
      <c r="AJ30" s="3"/>
      <c r="AK30" s="37" t="str">
        <f t="shared" si="16"/>
        <v/>
      </c>
      <c r="AL30" s="3"/>
      <c r="AM30" s="3"/>
      <c r="AN30" s="4"/>
      <c r="AO30" s="4"/>
      <c r="AP30" s="6"/>
      <c r="AQ30" s="6"/>
      <c r="AR30" s="33" t="str">
        <f t="shared" si="17"/>
        <v/>
      </c>
      <c r="AS30" s="42"/>
      <c r="AT30" s="3"/>
      <c r="AU30" s="37" t="str">
        <f t="shared" si="18"/>
        <v/>
      </c>
      <c r="AV30" s="3"/>
      <c r="AW30" s="3"/>
      <c r="AX30" s="4"/>
      <c r="AY30" s="4"/>
      <c r="AZ30" s="6"/>
      <c r="BA30" s="6"/>
      <c r="BB30" s="33" t="str">
        <f t="shared" si="19"/>
        <v/>
      </c>
      <c r="BC30" s="42"/>
      <c r="BD30" s="3"/>
      <c r="BE30" s="37" t="str">
        <f t="shared" si="20"/>
        <v/>
      </c>
      <c r="BF30" s="3"/>
      <c r="BG30" s="3"/>
      <c r="BH30" s="4"/>
      <c r="BI30" s="4"/>
      <c r="BJ30" s="6"/>
      <c r="BK30" s="6"/>
      <c r="BL30" s="33" t="str">
        <f t="shared" si="21"/>
        <v/>
      </c>
      <c r="BM30" s="42"/>
      <c r="BN30" s="3"/>
      <c r="BO30" s="37" t="str">
        <f t="shared" si="22"/>
        <v/>
      </c>
      <c r="BP30" s="3"/>
      <c r="BQ30" s="3"/>
      <c r="BR30" s="4"/>
      <c r="BS30" s="4"/>
      <c r="BT30" s="6"/>
      <c r="BU30" s="6"/>
      <c r="BV30" s="33" t="str">
        <f t="shared" si="23"/>
        <v/>
      </c>
      <c r="BW30" s="42"/>
      <c r="BX30" s="3"/>
      <c r="BY30" s="37" t="str">
        <f t="shared" si="24"/>
        <v/>
      </c>
      <c r="BZ30" s="3"/>
      <c r="CA30" s="3"/>
      <c r="CB30" s="4"/>
      <c r="CC30" s="4"/>
      <c r="CD30" s="6"/>
      <c r="CE30" s="6"/>
      <c r="CF30" s="33" t="str">
        <f t="shared" si="25"/>
        <v/>
      </c>
      <c r="CG30" s="42"/>
      <c r="CH30" s="3"/>
      <c r="CI30" s="37" t="str">
        <f t="shared" si="26"/>
        <v/>
      </c>
      <c r="CJ30" s="3"/>
      <c r="CK30" s="3"/>
      <c r="CL30" s="4"/>
      <c r="CM30" s="4"/>
      <c r="CN30" s="6"/>
      <c r="CO30" s="6"/>
      <c r="CP30" s="33" t="str">
        <f t="shared" si="27"/>
        <v/>
      </c>
      <c r="CQ30" s="42"/>
      <c r="CR30" s="3"/>
      <c r="CS30" s="37" t="str">
        <f t="shared" si="28"/>
        <v/>
      </c>
      <c r="CT30" s="3"/>
      <c r="CU30" s="3"/>
      <c r="CV30" s="4"/>
      <c r="CW30" s="4"/>
      <c r="CX30" s="6"/>
      <c r="CY30" s="6"/>
      <c r="CZ30" s="33" t="str">
        <f t="shared" si="29"/>
        <v/>
      </c>
      <c r="DA30" s="42"/>
      <c r="DB30" s="3"/>
      <c r="DC30" s="37" t="str">
        <f t="shared" si="30"/>
        <v/>
      </c>
      <c r="DD30" s="3"/>
      <c r="DE30" s="3"/>
      <c r="DF30" s="4"/>
      <c r="DG30" s="4"/>
      <c r="DH30" s="6"/>
      <c r="DI30" s="6"/>
      <c r="DJ30" s="33" t="str">
        <f t="shared" si="31"/>
        <v/>
      </c>
      <c r="DK30" s="42"/>
      <c r="DL30" s="3"/>
      <c r="DM30" s="37" t="str">
        <f t="shared" si="32"/>
        <v/>
      </c>
      <c r="DN30" s="3"/>
      <c r="DO30" s="3"/>
      <c r="DP30" s="4"/>
      <c r="DQ30" s="4"/>
      <c r="DR30" s="6"/>
      <c r="DS30" s="6"/>
      <c r="DT30" s="33" t="str">
        <f t="shared" si="33"/>
        <v/>
      </c>
      <c r="DU30" s="42"/>
      <c r="DV30" s="3"/>
      <c r="DW30" s="37" t="str">
        <f t="shared" si="34"/>
        <v/>
      </c>
      <c r="DX30" s="3"/>
      <c r="DY30" s="3"/>
      <c r="DZ30" s="4"/>
      <c r="EA30" s="4"/>
      <c r="EB30" s="6"/>
      <c r="EC30" s="6"/>
      <c r="ED30" s="33" t="str">
        <f t="shared" si="35"/>
        <v/>
      </c>
      <c r="EE30" s="42"/>
      <c r="EF30" s="3"/>
      <c r="EG30" s="37" t="str">
        <f t="shared" si="36"/>
        <v/>
      </c>
      <c r="EH30" s="3"/>
      <c r="EI30" s="3"/>
      <c r="EJ30" s="4"/>
      <c r="EK30" s="4"/>
      <c r="EL30" s="6"/>
      <c r="EM30" s="6"/>
      <c r="EN30" s="33" t="str">
        <f t="shared" si="37"/>
        <v/>
      </c>
      <c r="EO30" s="42"/>
      <c r="EP30" s="3"/>
      <c r="EQ30" s="37" t="str">
        <f t="shared" si="38"/>
        <v/>
      </c>
      <c r="ER30" s="3"/>
      <c r="ES30" s="3"/>
    </row>
    <row r="31" spans="2:149" ht="42" customHeight="1">
      <c r="B31" s="3"/>
      <c r="C31" s="3"/>
      <c r="D31" s="4"/>
      <c r="E31" s="75" t="str">
        <f t="shared" si="0"/>
        <v>×</v>
      </c>
      <c r="F31" s="75" t="str">
        <f t="shared" si="1"/>
        <v>×</v>
      </c>
      <c r="G31" s="75" t="str">
        <f t="shared" si="2"/>
        <v>×</v>
      </c>
      <c r="H31" s="75" t="str">
        <f t="shared" si="3"/>
        <v>×</v>
      </c>
      <c r="I31" s="75" t="str">
        <f t="shared" si="4"/>
        <v>×</v>
      </c>
      <c r="J31" s="75" t="str">
        <f t="shared" si="5"/>
        <v>×</v>
      </c>
      <c r="K31" s="75" t="str">
        <f t="shared" si="6"/>
        <v>×</v>
      </c>
      <c r="L31" s="75" t="str">
        <f t="shared" si="7"/>
        <v>×</v>
      </c>
      <c r="M31" s="75" t="str">
        <f t="shared" si="8"/>
        <v>×</v>
      </c>
      <c r="N31" s="75" t="str">
        <f t="shared" si="9"/>
        <v>×</v>
      </c>
      <c r="O31" s="75" t="str">
        <f t="shared" si="10"/>
        <v>×</v>
      </c>
      <c r="P31" s="75" t="str">
        <f t="shared" si="11"/>
        <v>×</v>
      </c>
      <c r="Q31" s="76" t="e">
        <f t="shared" si="12"/>
        <v>#DIV/0!</v>
      </c>
      <c r="R31" s="4"/>
      <c r="S31" s="4"/>
      <c r="T31" s="4"/>
      <c r="U31" s="4"/>
      <c r="V31" s="77" t="e">
        <f t="shared" si="13"/>
        <v>#DIV/0!</v>
      </c>
      <c r="W31" s="77" t="e">
        <f t="shared" si="14"/>
        <v>#DIV/0!</v>
      </c>
      <c r="X31" s="77" t="e" cm="1">
        <f t="array" ref="X31">_xlfn.IFS(Q31&gt;=0.8,5,Q31&gt;=0.6,3,Q31&gt;=0.2,1,Q31&lt;0.2,0)</f>
        <v>#DIV/0!</v>
      </c>
      <c r="Y31" s="55" t="e">
        <f t="shared" si="39"/>
        <v>#DIV/0!</v>
      </c>
      <c r="Z31" s="5"/>
      <c r="AA31" s="5"/>
      <c r="AB31" s="14"/>
      <c r="AC31" s="29"/>
      <c r="AD31" s="4"/>
      <c r="AE31" s="4"/>
      <c r="AF31" s="6"/>
      <c r="AG31" s="6"/>
      <c r="AH31" s="33" t="str">
        <f t="shared" si="15"/>
        <v/>
      </c>
      <c r="AI31" s="42"/>
      <c r="AJ31" s="3"/>
      <c r="AK31" s="37" t="str">
        <f t="shared" si="16"/>
        <v/>
      </c>
      <c r="AL31" s="3"/>
      <c r="AM31" s="3"/>
      <c r="AN31" s="4"/>
      <c r="AO31" s="4"/>
      <c r="AP31" s="6"/>
      <c r="AQ31" s="6"/>
      <c r="AR31" s="33" t="str">
        <f t="shared" si="17"/>
        <v/>
      </c>
      <c r="AS31" s="42"/>
      <c r="AT31" s="3"/>
      <c r="AU31" s="37" t="str">
        <f t="shared" si="18"/>
        <v/>
      </c>
      <c r="AV31" s="3"/>
      <c r="AW31" s="3"/>
      <c r="AX31" s="4"/>
      <c r="AY31" s="4"/>
      <c r="AZ31" s="6"/>
      <c r="BA31" s="6"/>
      <c r="BB31" s="33" t="str">
        <f t="shared" si="19"/>
        <v/>
      </c>
      <c r="BC31" s="42"/>
      <c r="BD31" s="3"/>
      <c r="BE31" s="37" t="str">
        <f t="shared" si="20"/>
        <v/>
      </c>
      <c r="BF31" s="3"/>
      <c r="BG31" s="3"/>
      <c r="BH31" s="4"/>
      <c r="BI31" s="4"/>
      <c r="BJ31" s="6"/>
      <c r="BK31" s="6"/>
      <c r="BL31" s="33" t="str">
        <f t="shared" si="21"/>
        <v/>
      </c>
      <c r="BM31" s="42"/>
      <c r="BN31" s="3"/>
      <c r="BO31" s="37" t="str">
        <f t="shared" si="22"/>
        <v/>
      </c>
      <c r="BP31" s="3"/>
      <c r="BQ31" s="3"/>
      <c r="BR31" s="4"/>
      <c r="BS31" s="4"/>
      <c r="BT31" s="6"/>
      <c r="BU31" s="6"/>
      <c r="BV31" s="33" t="str">
        <f t="shared" si="23"/>
        <v/>
      </c>
      <c r="BW31" s="42"/>
      <c r="BX31" s="3"/>
      <c r="BY31" s="37" t="str">
        <f t="shared" si="24"/>
        <v/>
      </c>
      <c r="BZ31" s="3"/>
      <c r="CA31" s="3"/>
      <c r="CB31" s="4"/>
      <c r="CC31" s="4"/>
      <c r="CD31" s="6"/>
      <c r="CE31" s="6"/>
      <c r="CF31" s="33" t="str">
        <f t="shared" si="25"/>
        <v/>
      </c>
      <c r="CG31" s="42"/>
      <c r="CH31" s="3"/>
      <c r="CI31" s="37" t="str">
        <f t="shared" si="26"/>
        <v/>
      </c>
      <c r="CJ31" s="3"/>
      <c r="CK31" s="3"/>
      <c r="CL31" s="4"/>
      <c r="CM31" s="4"/>
      <c r="CN31" s="6"/>
      <c r="CO31" s="6"/>
      <c r="CP31" s="33" t="str">
        <f t="shared" si="27"/>
        <v/>
      </c>
      <c r="CQ31" s="42"/>
      <c r="CR31" s="3"/>
      <c r="CS31" s="37" t="str">
        <f t="shared" si="28"/>
        <v/>
      </c>
      <c r="CT31" s="3"/>
      <c r="CU31" s="3"/>
      <c r="CV31" s="4"/>
      <c r="CW31" s="4"/>
      <c r="CX31" s="6"/>
      <c r="CY31" s="6"/>
      <c r="CZ31" s="33" t="str">
        <f t="shared" si="29"/>
        <v/>
      </c>
      <c r="DA31" s="42"/>
      <c r="DB31" s="3"/>
      <c r="DC31" s="37" t="str">
        <f t="shared" si="30"/>
        <v/>
      </c>
      <c r="DD31" s="3"/>
      <c r="DE31" s="3"/>
      <c r="DF31" s="4"/>
      <c r="DG31" s="4"/>
      <c r="DH31" s="6"/>
      <c r="DI31" s="6"/>
      <c r="DJ31" s="33" t="str">
        <f t="shared" si="31"/>
        <v/>
      </c>
      <c r="DK31" s="42"/>
      <c r="DL31" s="3"/>
      <c r="DM31" s="37" t="str">
        <f t="shared" si="32"/>
        <v/>
      </c>
      <c r="DN31" s="3"/>
      <c r="DO31" s="3"/>
      <c r="DP31" s="4"/>
      <c r="DQ31" s="4"/>
      <c r="DR31" s="6"/>
      <c r="DS31" s="6"/>
      <c r="DT31" s="33" t="str">
        <f t="shared" si="33"/>
        <v/>
      </c>
      <c r="DU31" s="42"/>
      <c r="DV31" s="3"/>
      <c r="DW31" s="37" t="str">
        <f t="shared" si="34"/>
        <v/>
      </c>
      <c r="DX31" s="3"/>
      <c r="DY31" s="3"/>
      <c r="DZ31" s="4"/>
      <c r="EA31" s="4"/>
      <c r="EB31" s="6"/>
      <c r="EC31" s="6"/>
      <c r="ED31" s="33" t="str">
        <f t="shared" si="35"/>
        <v/>
      </c>
      <c r="EE31" s="42"/>
      <c r="EF31" s="3"/>
      <c r="EG31" s="37" t="str">
        <f t="shared" si="36"/>
        <v/>
      </c>
      <c r="EH31" s="3"/>
      <c r="EI31" s="3"/>
      <c r="EJ31" s="4"/>
      <c r="EK31" s="4"/>
      <c r="EL31" s="6"/>
      <c r="EM31" s="6"/>
      <c r="EN31" s="33" t="str">
        <f t="shared" si="37"/>
        <v/>
      </c>
      <c r="EO31" s="42"/>
      <c r="EP31" s="3"/>
      <c r="EQ31" s="37" t="str">
        <f t="shared" si="38"/>
        <v/>
      </c>
      <c r="ER31" s="3"/>
      <c r="ES31" s="3"/>
    </row>
    <row r="32" spans="2:149">
      <c r="D32" s="52"/>
      <c r="R32" s="52"/>
      <c r="S32" s="52"/>
      <c r="T32" s="52"/>
      <c r="U32" s="52"/>
      <c r="V32" s="52"/>
      <c r="W32" s="52"/>
      <c r="X32" s="52"/>
      <c r="Y32" s="52"/>
    </row>
    <row r="33" spans="2:29" ht="42" customHeight="1">
      <c r="B33" s="27" t="s">
        <v>180</v>
      </c>
      <c r="C33" s="27" t="s">
        <v>181</v>
      </c>
      <c r="D33" s="28"/>
      <c r="E33" s="28" t="s">
        <v>182</v>
      </c>
      <c r="F33" s="28" t="s">
        <v>182</v>
      </c>
      <c r="G33" s="28" t="s">
        <v>182</v>
      </c>
      <c r="H33" s="28" t="s">
        <v>182</v>
      </c>
      <c r="I33" s="28" t="s">
        <v>182</v>
      </c>
      <c r="J33" s="28"/>
      <c r="K33" s="28" t="s">
        <v>182</v>
      </c>
      <c r="L33" s="28" t="s">
        <v>182</v>
      </c>
      <c r="M33" s="28" t="s">
        <v>182</v>
      </c>
      <c r="N33" s="28" t="s">
        <v>182</v>
      </c>
      <c r="O33" s="28" t="s">
        <v>182</v>
      </c>
      <c r="P33" s="28"/>
      <c r="Q33" s="28"/>
      <c r="R33" s="28"/>
      <c r="S33" s="28"/>
      <c r="T33" s="28"/>
      <c r="U33" s="28"/>
      <c r="V33" s="28"/>
      <c r="W33" s="28"/>
      <c r="X33" s="28"/>
      <c r="Y33" s="28"/>
      <c r="Z33" s="29" t="s">
        <v>183</v>
      </c>
      <c r="AA33" s="29"/>
      <c r="AB33" s="14" t="s">
        <v>168</v>
      </c>
      <c r="AC33" s="44"/>
    </row>
    <row r="34" spans="2:29" ht="42" customHeight="1">
      <c r="B34" s="27" t="s">
        <v>184</v>
      </c>
      <c r="C34" s="27" t="s">
        <v>185</v>
      </c>
      <c r="D34" s="28"/>
      <c r="E34" s="28" t="s">
        <v>182</v>
      </c>
      <c r="F34" s="28" t="s">
        <v>182</v>
      </c>
      <c r="G34" s="28" t="s">
        <v>182</v>
      </c>
      <c r="H34" s="28" t="s">
        <v>182</v>
      </c>
      <c r="I34" s="28" t="s">
        <v>182</v>
      </c>
      <c r="J34" s="28"/>
      <c r="K34" s="28" t="s">
        <v>182</v>
      </c>
      <c r="L34" s="28" t="s">
        <v>182</v>
      </c>
      <c r="M34" s="28" t="s">
        <v>182</v>
      </c>
      <c r="N34" s="28" t="s">
        <v>182</v>
      </c>
      <c r="O34" s="28" t="s">
        <v>182</v>
      </c>
      <c r="P34" s="28"/>
      <c r="Q34" s="28"/>
      <c r="R34" s="28"/>
      <c r="S34" s="28"/>
      <c r="T34" s="28"/>
      <c r="U34" s="28"/>
      <c r="V34" s="28"/>
      <c r="W34" s="28"/>
      <c r="X34" s="28"/>
      <c r="Y34" s="28"/>
      <c r="Z34" s="29" t="s">
        <v>186</v>
      </c>
      <c r="AA34" s="29"/>
      <c r="AB34" s="14" t="s">
        <v>178</v>
      </c>
      <c r="AC34" s="44"/>
    </row>
    <row r="35" spans="2:29" ht="42" customHeight="1">
      <c r="B35" s="3"/>
      <c r="C35" s="27"/>
      <c r="D35" s="28"/>
      <c r="E35" s="4"/>
      <c r="F35" s="4"/>
      <c r="G35" s="4"/>
      <c r="H35" s="4"/>
      <c r="I35" s="4"/>
      <c r="J35" s="4"/>
      <c r="K35" s="4"/>
      <c r="L35" s="4"/>
      <c r="M35" s="4"/>
      <c r="N35" s="4"/>
      <c r="O35" s="4"/>
      <c r="P35" s="4"/>
      <c r="Q35" s="4"/>
      <c r="R35" s="28"/>
      <c r="S35" s="28"/>
      <c r="T35" s="28"/>
      <c r="U35" s="28"/>
      <c r="V35" s="28"/>
      <c r="W35" s="28"/>
      <c r="X35" s="28"/>
      <c r="Y35" s="28"/>
      <c r="Z35" s="5"/>
      <c r="AA35" s="5"/>
      <c r="AB35" s="14"/>
      <c r="AC35" s="44"/>
    </row>
  </sheetData>
  <phoneticPr fontId="3"/>
  <conditionalFormatting sqref="Y10:Y31">
    <cfRule type="cellIs" dxfId="1074" priority="19" operator="lessThan">
      <formula>60</formula>
    </cfRule>
  </conditionalFormatting>
  <conditionalFormatting sqref="AE10:AE31">
    <cfRule type="cellIs" dxfId="1073" priority="27" operator="equal">
      <formula>"×"</formula>
    </cfRule>
  </conditionalFormatting>
  <conditionalFormatting sqref="AH10:AH31">
    <cfRule type="cellIs" dxfId="1072" priority="39" operator="lessThan">
      <formula>0.6</formula>
    </cfRule>
  </conditionalFormatting>
  <conditionalFormatting sqref="AK10:AK31">
    <cfRule type="cellIs" dxfId="1071" priority="36" operator="greaterThan">
      <formula>8</formula>
    </cfRule>
  </conditionalFormatting>
  <conditionalFormatting sqref="AM10:AM31 AW10:AW31 BG10:BG31 BQ10:BQ31 CA10:CA31 CK10:CK31 CU10:CU31 DE10:DE31 DO10:DO31 DY10:DY31 EI10:EI31 ES10:ES31">
    <cfRule type="cellIs" dxfId="1070" priority="37" operator="notEqual">
      <formula>AL10</formula>
    </cfRule>
  </conditionalFormatting>
  <conditionalFormatting sqref="AO10:AO31">
    <cfRule type="cellIs" dxfId="1069" priority="26" operator="equal">
      <formula>"×"</formula>
    </cfRule>
  </conditionalFormatting>
  <conditionalFormatting sqref="AR10:AR31">
    <cfRule type="cellIs" dxfId="1068" priority="29" operator="lessThan">
      <formula>0.6</formula>
    </cfRule>
  </conditionalFormatting>
  <conditionalFormatting sqref="AU10:AU31">
    <cfRule type="cellIs" dxfId="1067" priority="28" operator="greaterThan">
      <formula>8</formula>
    </cfRule>
  </conditionalFormatting>
  <conditionalFormatting sqref="AY10:AY31">
    <cfRule type="cellIs" dxfId="1066" priority="25" operator="equal">
      <formula>"×"</formula>
    </cfRule>
  </conditionalFormatting>
  <conditionalFormatting sqref="BB10:BB31">
    <cfRule type="cellIs" dxfId="1065" priority="31" operator="lessThan">
      <formula>0.6</formula>
    </cfRule>
  </conditionalFormatting>
  <conditionalFormatting sqref="BE10:BE31">
    <cfRule type="cellIs" dxfId="1064" priority="30" operator="greaterThan">
      <formula>8</formula>
    </cfRule>
  </conditionalFormatting>
  <conditionalFormatting sqref="BI10:BI31">
    <cfRule type="cellIs" dxfId="1063" priority="24" operator="equal">
      <formula>"×"</formula>
    </cfRule>
  </conditionalFormatting>
  <conditionalFormatting sqref="BL10:BL31">
    <cfRule type="cellIs" dxfId="1062" priority="33" operator="lessThan">
      <formula>0.6</formula>
    </cfRule>
  </conditionalFormatting>
  <conditionalFormatting sqref="BO10:BO31">
    <cfRule type="cellIs" dxfId="1061" priority="32" operator="greaterThan">
      <formula>8</formula>
    </cfRule>
  </conditionalFormatting>
  <conditionalFormatting sqref="BS10:BS31">
    <cfRule type="cellIs" dxfId="1060" priority="23" operator="equal">
      <formula>"×"</formula>
    </cfRule>
  </conditionalFormatting>
  <conditionalFormatting sqref="BV10:BV31">
    <cfRule type="cellIs" dxfId="1059" priority="35" operator="lessThan">
      <formula>0.6</formula>
    </cfRule>
  </conditionalFormatting>
  <conditionalFormatting sqref="BY10:BY31">
    <cfRule type="cellIs" dxfId="1058" priority="34" operator="greaterThan">
      <formula>8</formula>
    </cfRule>
  </conditionalFormatting>
  <conditionalFormatting sqref="CC10:CC31">
    <cfRule type="cellIs" dxfId="1057" priority="20" operator="equal">
      <formula>"×"</formula>
    </cfRule>
  </conditionalFormatting>
  <conditionalFormatting sqref="CF10:CF31">
    <cfRule type="cellIs" dxfId="1056" priority="22" operator="lessThan">
      <formula>0.6</formula>
    </cfRule>
  </conditionalFormatting>
  <conditionalFormatting sqref="CI10:CI31">
    <cfRule type="cellIs" dxfId="1055" priority="21" operator="greaterThan">
      <formula>8</formula>
    </cfRule>
  </conditionalFormatting>
  <conditionalFormatting sqref="CM10:CM31">
    <cfRule type="cellIs" dxfId="1054" priority="8" operator="equal">
      <formula>"×"</formula>
    </cfRule>
  </conditionalFormatting>
  <conditionalFormatting sqref="CP10:CP31">
    <cfRule type="cellIs" dxfId="1053" priority="18" operator="lessThan">
      <formula>0.6</formula>
    </cfRule>
  </conditionalFormatting>
  <conditionalFormatting sqref="CS10:CS31">
    <cfRule type="cellIs" dxfId="1052" priority="17" operator="greaterThan">
      <formula>8</formula>
    </cfRule>
  </conditionalFormatting>
  <conditionalFormatting sqref="CW10:CW31">
    <cfRule type="cellIs" dxfId="1051" priority="7" operator="equal">
      <formula>"×"</formula>
    </cfRule>
  </conditionalFormatting>
  <conditionalFormatting sqref="CZ10:CZ31">
    <cfRule type="cellIs" dxfId="1050" priority="10" operator="lessThan">
      <formula>0.6</formula>
    </cfRule>
  </conditionalFormatting>
  <conditionalFormatting sqref="DC10:DC31">
    <cfRule type="cellIs" dxfId="1049" priority="9" operator="greaterThan">
      <formula>8</formula>
    </cfRule>
  </conditionalFormatting>
  <conditionalFormatting sqref="DG10:DG31">
    <cfRule type="cellIs" dxfId="1048" priority="6" operator="equal">
      <formula>"×"</formula>
    </cfRule>
  </conditionalFormatting>
  <conditionalFormatting sqref="DJ10:DJ31">
    <cfRule type="cellIs" dxfId="1047" priority="12" operator="lessThan">
      <formula>0.6</formula>
    </cfRule>
  </conditionalFormatting>
  <conditionalFormatting sqref="DM10:DM31">
    <cfRule type="cellIs" dxfId="1046" priority="11" operator="greaterThan">
      <formula>8</formula>
    </cfRule>
  </conditionalFormatting>
  <conditionalFormatting sqref="DQ10:DQ31">
    <cfRule type="cellIs" dxfId="1045" priority="5" operator="equal">
      <formula>"×"</formula>
    </cfRule>
  </conditionalFormatting>
  <conditionalFormatting sqref="DT10:DT31">
    <cfRule type="cellIs" dxfId="1044" priority="14" operator="lessThan">
      <formula>0.6</formula>
    </cfRule>
  </conditionalFormatting>
  <conditionalFormatting sqref="DW10:DW31">
    <cfRule type="cellIs" dxfId="1043" priority="13" operator="greaterThan">
      <formula>8</formula>
    </cfRule>
  </conditionalFormatting>
  <conditionalFormatting sqref="EA10:EA31">
    <cfRule type="cellIs" dxfId="1042" priority="4" operator="equal">
      <formula>"×"</formula>
    </cfRule>
  </conditionalFormatting>
  <conditionalFormatting sqref="ED10:ED31">
    <cfRule type="cellIs" dxfId="1041" priority="16" operator="lessThan">
      <formula>0.6</formula>
    </cfRule>
  </conditionalFormatting>
  <conditionalFormatting sqref="EG10:EG31">
    <cfRule type="cellIs" dxfId="1040" priority="15" operator="greaterThan">
      <formula>8</formula>
    </cfRule>
  </conditionalFormatting>
  <conditionalFormatting sqref="EK10:EK31">
    <cfRule type="cellIs" dxfId="1039" priority="1" operator="equal">
      <formula>"×"</formula>
    </cfRule>
  </conditionalFormatting>
  <conditionalFormatting sqref="EN10:EN31">
    <cfRule type="cellIs" dxfId="1038" priority="3" operator="lessThan">
      <formula>0.6</formula>
    </cfRule>
  </conditionalFormatting>
  <conditionalFormatting sqref="EQ10:EQ31">
    <cfRule type="cellIs" dxfId="1037" priority="2" operator="greaterThan">
      <formula>8</formula>
    </cfRule>
  </conditionalFormatting>
  <dataValidations count="2">
    <dataValidation type="list" allowBlank="1" showInputMessage="1" showErrorMessage="1" sqref="AB33:AC35 AB10:AB31" xr:uid="{20E7A1F7-F4DD-4A72-90C4-7E3BAE5CC9F4}">
      <formula1>"○,△,×"</formula1>
    </dataValidation>
    <dataValidation type="list" allowBlank="1" showInputMessage="1" showErrorMessage="1" sqref="AE10:AE31 AO10:AO31 AY10:AY31 BI10:BI31 BS10:BS31 CC10:CC31 CM10:CM31 CW10:CW31 DG10:DG31 DQ10:DQ31 EA10:EA31 EK10:EK31" xr:uid="{ED4D7F8A-FB36-46C0-B2B0-677A79E3CC81}">
      <formula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1D522-9189-46F9-AB4E-136B3A8DFFFE}">
  <dimension ref="B2:FP35"/>
  <sheetViews>
    <sheetView showGridLines="0" zoomScaleNormal="100" workbookViewId="0">
      <pane xSplit="5" ySplit="9" topLeftCell="Y16" activePane="bottomRight" state="frozen"/>
      <selection pane="bottomRight" activeCell="Z12" sqref="Z12"/>
      <selection pane="bottomLeft" activeCell="A10" sqref="A10"/>
      <selection pane="topRight" activeCell="F1" sqref="F1"/>
    </sheetView>
  </sheetViews>
  <sheetFormatPr defaultRowHeight="11.1" outlineLevelCol="1"/>
  <cols>
    <col min="1" max="1" width="2.5703125" customWidth="1"/>
    <col min="2" max="2" width="24.42578125" bestFit="1" customWidth="1"/>
    <col min="3" max="3" width="8.140625" bestFit="1" customWidth="1"/>
    <col min="4" max="4" width="8.140625" customWidth="1"/>
    <col min="5" max="5" width="7.85546875" customWidth="1"/>
    <col min="6" max="17" width="6.85546875" customWidth="1" outlineLevel="1"/>
    <col min="18" max="18" width="10.140625" customWidth="1" outlineLevel="1"/>
    <col min="19" max="22" width="7.85546875" customWidth="1" outlineLevel="1"/>
    <col min="23" max="25" width="7.85546875" customWidth="1"/>
    <col min="26" max="26" width="11.7109375" customWidth="1"/>
    <col min="27" max="28" width="35.42578125" customWidth="1"/>
    <col min="29" max="29" width="10.140625" customWidth="1"/>
    <col min="30" max="30" width="35.42578125" customWidth="1"/>
    <col min="31" max="31" width="9.140625" customWidth="1"/>
    <col min="32" max="32" width="35.42578125" customWidth="1"/>
    <col min="33" max="33" width="13" bestFit="1" customWidth="1"/>
    <col min="34" max="34" width="13.42578125" bestFit="1" customWidth="1"/>
    <col min="35" max="35" width="10.7109375" bestFit="1" customWidth="1"/>
    <col min="36" max="36" width="13.42578125" bestFit="1" customWidth="1"/>
    <col min="37" max="37" width="9.85546875" bestFit="1" customWidth="1"/>
    <col min="38" max="38" width="38.85546875" style="24" customWidth="1"/>
    <col min="39" max="39" width="48.140625" style="24" customWidth="1"/>
    <col min="40" max="40" width="10.5703125" bestFit="1" customWidth="1"/>
    <col min="41" max="45" width="11" customWidth="1"/>
    <col min="46" max="46" width="35.42578125" customWidth="1"/>
    <col min="47" max="166" width="10.5703125" customWidth="1"/>
  </cols>
  <sheetData>
    <row r="2" spans="2:172" ht="15">
      <c r="B2" s="25" t="s">
        <v>113</v>
      </c>
      <c r="C2" s="25"/>
      <c r="D2" s="25"/>
      <c r="E2" s="25"/>
      <c r="F2" s="32" t="s">
        <v>114</v>
      </c>
      <c r="G2" s="16"/>
      <c r="H2" s="16"/>
      <c r="I2" s="16"/>
      <c r="J2" s="16"/>
      <c r="K2" s="16"/>
      <c r="L2" s="70"/>
      <c r="M2" s="16"/>
      <c r="N2" s="16"/>
      <c r="O2" s="71"/>
      <c r="P2" s="1"/>
      <c r="S2" s="25"/>
      <c r="T2" s="25"/>
      <c r="U2" s="25"/>
      <c r="V2" s="25">
        <v>381.8</v>
      </c>
      <c r="W2" s="25"/>
      <c r="X2" s="25"/>
      <c r="Y2" s="25"/>
      <c r="Z2" s="25"/>
      <c r="AB2" s="54"/>
      <c r="AC2" s="54"/>
      <c r="AD2" s="54"/>
      <c r="AE2" s="54"/>
      <c r="AF2" t="s">
        <v>187</v>
      </c>
      <c r="AN2" s="54"/>
    </row>
    <row r="3" spans="2:172">
      <c r="B3" s="24" t="s">
        <v>188</v>
      </c>
      <c r="F3" s="1" t="s">
        <v>14</v>
      </c>
      <c r="H3" s="24" t="s">
        <v>116</v>
      </c>
      <c r="N3" s="24"/>
      <c r="O3" s="72"/>
      <c r="P3" s="1"/>
      <c r="Q3" t="s">
        <v>189</v>
      </c>
      <c r="AB3" s="54"/>
      <c r="AC3" s="54"/>
      <c r="AD3" s="54"/>
      <c r="AE3" s="54"/>
      <c r="AF3" t="s">
        <v>190</v>
      </c>
      <c r="AN3" s="54"/>
    </row>
    <row r="4" spans="2:172">
      <c r="F4" s="34"/>
      <c r="H4" s="24" t="s">
        <v>117</v>
      </c>
      <c r="L4" s="24"/>
      <c r="N4" s="24"/>
      <c r="O4" s="72"/>
      <c r="P4" s="1"/>
      <c r="Q4" t="s">
        <v>191</v>
      </c>
      <c r="AF4" t="s">
        <v>192</v>
      </c>
    </row>
    <row r="5" spans="2:172">
      <c r="F5" s="34" t="s">
        <v>15</v>
      </c>
      <c r="H5" s="24" t="s">
        <v>118</v>
      </c>
      <c r="L5" s="24"/>
      <c r="N5" s="24"/>
      <c r="O5" s="72"/>
      <c r="P5" s="1"/>
      <c r="Q5" t="s">
        <v>193</v>
      </c>
      <c r="AF5" t="s">
        <v>194</v>
      </c>
    </row>
    <row r="6" spans="2:172" ht="12.6">
      <c r="B6" s="78" t="s">
        <v>195</v>
      </c>
      <c r="F6" s="2"/>
      <c r="G6" s="22"/>
      <c r="H6" s="22" t="s">
        <v>119</v>
      </c>
      <c r="I6" s="17"/>
      <c r="J6" s="17"/>
      <c r="K6" s="17"/>
      <c r="L6" s="17"/>
      <c r="M6" s="22"/>
      <c r="N6" s="22"/>
      <c r="O6" s="73"/>
      <c r="P6" s="1"/>
      <c r="AF6" t="s">
        <v>196</v>
      </c>
      <c r="AU6" s="10" t="s">
        <v>120</v>
      </c>
      <c r="AV6" s="51"/>
      <c r="AW6" s="11"/>
      <c r="AX6" s="11"/>
      <c r="AY6" s="11"/>
      <c r="AZ6" s="11"/>
      <c r="BA6" s="11"/>
      <c r="BB6" s="11"/>
      <c r="BC6" s="11"/>
      <c r="BD6" s="12"/>
      <c r="BE6" s="43" t="s">
        <v>121</v>
      </c>
      <c r="BF6" s="51"/>
      <c r="BG6" s="11"/>
      <c r="BH6" s="11"/>
      <c r="BI6" s="11"/>
      <c r="BJ6" s="11"/>
      <c r="BK6" s="11"/>
      <c r="BL6" s="11"/>
      <c r="BM6" s="11"/>
      <c r="BN6" s="12"/>
      <c r="BO6" s="43" t="s">
        <v>122</v>
      </c>
      <c r="BP6" s="51"/>
      <c r="BQ6" s="11"/>
      <c r="BR6" s="11"/>
      <c r="BS6" s="11"/>
      <c r="BT6" s="11"/>
      <c r="BU6" s="11"/>
      <c r="BV6" s="11"/>
      <c r="BW6" s="11"/>
      <c r="BX6" s="12"/>
      <c r="BY6" s="43" t="s">
        <v>123</v>
      </c>
      <c r="BZ6" s="51"/>
      <c r="CA6" s="11"/>
      <c r="CB6" s="11"/>
      <c r="CC6" s="11"/>
      <c r="CD6" s="11"/>
      <c r="CE6" s="11"/>
      <c r="CF6" s="11"/>
      <c r="CG6" s="11"/>
      <c r="CH6" s="12"/>
      <c r="CI6" s="43" t="s">
        <v>124</v>
      </c>
      <c r="CJ6" s="51"/>
      <c r="CK6" s="11"/>
      <c r="CL6" s="11"/>
      <c r="CM6" s="11"/>
      <c r="CN6" s="11"/>
      <c r="CO6" s="11"/>
      <c r="CP6" s="11"/>
      <c r="CQ6" s="11"/>
      <c r="CR6" s="12"/>
      <c r="CS6" s="43" t="s">
        <v>125</v>
      </c>
      <c r="CT6" s="51"/>
      <c r="CU6" s="11"/>
      <c r="CV6" s="11"/>
      <c r="CW6" s="11"/>
      <c r="CX6" s="11"/>
      <c r="CY6" s="11"/>
      <c r="CZ6" s="11"/>
      <c r="DA6" s="11"/>
      <c r="DB6" s="12"/>
      <c r="DC6" s="43" t="s">
        <v>126</v>
      </c>
      <c r="DD6" s="51"/>
      <c r="DE6" s="11"/>
      <c r="DF6" s="11"/>
      <c r="DG6" s="11"/>
      <c r="DH6" s="11"/>
      <c r="DI6" s="11"/>
      <c r="DJ6" s="11"/>
      <c r="DK6" s="11"/>
      <c r="DL6" s="12"/>
      <c r="DM6" s="43" t="s">
        <v>127</v>
      </c>
      <c r="DN6" s="51"/>
      <c r="DO6" s="11"/>
      <c r="DP6" s="11"/>
      <c r="DQ6" s="11"/>
      <c r="DR6" s="11"/>
      <c r="DS6" s="11"/>
      <c r="DT6" s="11"/>
      <c r="DU6" s="11"/>
      <c r="DV6" s="12"/>
      <c r="DW6" s="43" t="s">
        <v>128</v>
      </c>
      <c r="DX6" s="51"/>
      <c r="DY6" s="11"/>
      <c r="DZ6" s="11"/>
      <c r="EA6" s="11"/>
      <c r="EB6" s="11"/>
      <c r="EC6" s="11"/>
      <c r="ED6" s="11"/>
      <c r="EE6" s="11"/>
      <c r="EF6" s="12"/>
      <c r="EG6" s="43" t="s">
        <v>129</v>
      </c>
      <c r="EH6" s="51"/>
      <c r="EI6" s="11"/>
      <c r="EJ6" s="11"/>
      <c r="EK6" s="11"/>
      <c r="EL6" s="11"/>
      <c r="EM6" s="11"/>
      <c r="EN6" s="11"/>
      <c r="EO6" s="11"/>
      <c r="EP6" s="12"/>
      <c r="EQ6" s="43" t="s">
        <v>130</v>
      </c>
      <c r="ER6" s="51"/>
      <c r="ES6" s="11"/>
      <c r="ET6" s="11"/>
      <c r="EU6" s="11"/>
      <c r="EV6" s="11"/>
      <c r="EW6" s="11"/>
      <c r="EX6" s="11"/>
      <c r="EY6" s="11"/>
      <c r="EZ6" s="12"/>
      <c r="FA6" s="43" t="s">
        <v>131</v>
      </c>
      <c r="FB6" s="51"/>
      <c r="FC6" s="11"/>
      <c r="FD6" s="11"/>
      <c r="FE6" s="11"/>
      <c r="FF6" s="11"/>
      <c r="FG6" s="11"/>
      <c r="FH6" s="11"/>
      <c r="FI6" s="11"/>
      <c r="FJ6" s="12"/>
    </row>
    <row r="7" spans="2:172">
      <c r="AH7" s="205">
        <f>AVERAGE(AH10:AH27)</f>
        <v>0.80064657063425471</v>
      </c>
      <c r="AI7" s="54">
        <f>AVERAGE(AI10:AI27)</f>
        <v>5.5634898656282958</v>
      </c>
      <c r="AP7">
        <f>COUNTIF(AP10:AP50,"○")</f>
        <v>3</v>
      </c>
      <c r="AQ7">
        <f>COUNTIF(AQ10:AQ50,"○")</f>
        <v>1</v>
      </c>
      <c r="AR7">
        <f>COUNTIF(AR10:AR50,"○")</f>
        <v>8</v>
      </c>
      <c r="AS7">
        <f>COUNTIF(AS10:AS50,"○")</f>
        <v>6</v>
      </c>
      <c r="AU7" s="18" t="s">
        <v>132</v>
      </c>
      <c r="AV7" s="12"/>
      <c r="AW7" s="18" t="s">
        <v>14</v>
      </c>
      <c r="AX7" s="11"/>
      <c r="AY7" s="12"/>
      <c r="AZ7" s="18" t="s">
        <v>15</v>
      </c>
      <c r="BA7" s="11"/>
      <c r="BB7" s="11"/>
      <c r="BC7" s="11"/>
      <c r="BD7" s="12"/>
      <c r="BE7" s="18" t="s">
        <v>132</v>
      </c>
      <c r="BF7" s="12"/>
      <c r="BG7" s="18" t="s">
        <v>14</v>
      </c>
      <c r="BH7" s="11"/>
      <c r="BI7" s="12"/>
      <c r="BJ7" s="18" t="s">
        <v>15</v>
      </c>
      <c r="BK7" s="11"/>
      <c r="BL7" s="11"/>
      <c r="BM7" s="11"/>
      <c r="BN7" s="12"/>
      <c r="BO7" s="18" t="s">
        <v>132</v>
      </c>
      <c r="BP7" s="12"/>
      <c r="BQ7" s="18" t="s">
        <v>14</v>
      </c>
      <c r="BR7" s="11"/>
      <c r="BS7" s="12"/>
      <c r="BT7" s="18" t="s">
        <v>15</v>
      </c>
      <c r="BU7" s="11"/>
      <c r="BV7" s="11"/>
      <c r="BW7" s="11"/>
      <c r="BX7" s="12"/>
      <c r="BY7" s="18" t="s">
        <v>132</v>
      </c>
      <c r="BZ7" s="12"/>
      <c r="CA7" s="18" t="s">
        <v>14</v>
      </c>
      <c r="CB7" s="11"/>
      <c r="CC7" s="12"/>
      <c r="CD7" s="18" t="s">
        <v>15</v>
      </c>
      <c r="CE7" s="11"/>
      <c r="CF7" s="11"/>
      <c r="CG7" s="11"/>
      <c r="CH7" s="12"/>
      <c r="CI7" s="18" t="s">
        <v>132</v>
      </c>
      <c r="CJ7" s="12"/>
      <c r="CK7" s="18" t="s">
        <v>14</v>
      </c>
      <c r="CL7" s="11"/>
      <c r="CM7" s="12"/>
      <c r="CN7" s="18" t="s">
        <v>15</v>
      </c>
      <c r="CO7" s="11"/>
      <c r="CP7" s="11"/>
      <c r="CQ7" s="11"/>
      <c r="CR7" s="12"/>
      <c r="CS7" s="18" t="s">
        <v>132</v>
      </c>
      <c r="CT7" s="12"/>
      <c r="CU7" s="18" t="s">
        <v>14</v>
      </c>
      <c r="CV7" s="11"/>
      <c r="CW7" s="12"/>
      <c r="CX7" s="18" t="s">
        <v>15</v>
      </c>
      <c r="CY7" s="11"/>
      <c r="CZ7" s="11"/>
      <c r="DA7" s="11"/>
      <c r="DB7" s="12"/>
      <c r="DC7" s="18" t="s">
        <v>132</v>
      </c>
      <c r="DD7" s="12"/>
      <c r="DE7" s="18" t="s">
        <v>14</v>
      </c>
      <c r="DF7" s="11"/>
      <c r="DG7" s="12"/>
      <c r="DH7" s="18" t="s">
        <v>15</v>
      </c>
      <c r="DI7" s="11"/>
      <c r="DJ7" s="11"/>
      <c r="DK7" s="11"/>
      <c r="DL7" s="12"/>
      <c r="DM7" s="18" t="s">
        <v>132</v>
      </c>
      <c r="DN7" s="12"/>
      <c r="DO7" s="18" t="s">
        <v>14</v>
      </c>
      <c r="DP7" s="11"/>
      <c r="DQ7" s="12"/>
      <c r="DR7" s="18" t="s">
        <v>15</v>
      </c>
      <c r="DS7" s="11"/>
      <c r="DT7" s="11"/>
      <c r="DU7" s="11"/>
      <c r="DV7" s="12"/>
      <c r="DW7" s="18" t="s">
        <v>132</v>
      </c>
      <c r="DX7" s="12"/>
      <c r="DY7" s="18" t="s">
        <v>14</v>
      </c>
      <c r="DZ7" s="11"/>
      <c r="EA7" s="12"/>
      <c r="EB7" s="18" t="s">
        <v>15</v>
      </c>
      <c r="EC7" s="11"/>
      <c r="ED7" s="11"/>
      <c r="EE7" s="11"/>
      <c r="EF7" s="12"/>
      <c r="EG7" s="18" t="s">
        <v>132</v>
      </c>
      <c r="EH7" s="12"/>
      <c r="EI7" s="18" t="s">
        <v>14</v>
      </c>
      <c r="EJ7" s="11"/>
      <c r="EK7" s="12"/>
      <c r="EL7" s="18" t="s">
        <v>15</v>
      </c>
      <c r="EM7" s="11"/>
      <c r="EN7" s="11"/>
      <c r="EO7" s="11"/>
      <c r="EP7" s="12"/>
      <c r="EQ7" s="18" t="s">
        <v>132</v>
      </c>
      <c r="ER7" s="12"/>
      <c r="ES7" s="18" t="s">
        <v>14</v>
      </c>
      <c r="ET7" s="11"/>
      <c r="EU7" s="12"/>
      <c r="EV7" s="18" t="s">
        <v>15</v>
      </c>
      <c r="EW7" s="11"/>
      <c r="EX7" s="11"/>
      <c r="EY7" s="11"/>
      <c r="EZ7" s="12"/>
      <c r="FA7" s="18" t="s">
        <v>132</v>
      </c>
      <c r="FB7" s="12"/>
      <c r="FC7" s="18" t="s">
        <v>14</v>
      </c>
      <c r="FD7" s="11"/>
      <c r="FE7" s="12"/>
      <c r="FF7" s="18" t="s">
        <v>15</v>
      </c>
      <c r="FG7" s="11"/>
      <c r="FH7" s="11"/>
      <c r="FI7" s="11"/>
      <c r="FJ7" s="12"/>
    </row>
    <row r="8" spans="2:172">
      <c r="B8" s="7"/>
      <c r="C8" s="10"/>
      <c r="D8" s="10"/>
      <c r="E8" s="10"/>
      <c r="F8" s="59" t="s">
        <v>133</v>
      </c>
      <c r="G8" s="11"/>
      <c r="H8" s="11"/>
      <c r="I8" s="11"/>
      <c r="J8" s="11"/>
      <c r="K8" s="11"/>
      <c r="L8" s="74"/>
      <c r="M8" s="11"/>
      <c r="N8" s="11"/>
      <c r="O8" s="11"/>
      <c r="P8" s="11"/>
      <c r="Q8" s="11"/>
      <c r="R8" s="11"/>
      <c r="S8" s="11"/>
      <c r="T8" s="11"/>
      <c r="U8" s="11"/>
      <c r="V8" s="12"/>
      <c r="W8" s="57"/>
      <c r="X8" s="58"/>
      <c r="Y8" s="58"/>
      <c r="Z8" s="56"/>
      <c r="AA8" s="31" t="s">
        <v>134</v>
      </c>
      <c r="AB8" s="31" t="s">
        <v>135</v>
      </c>
      <c r="AC8" s="530" t="s">
        <v>197</v>
      </c>
      <c r="AD8" s="530"/>
      <c r="AE8" s="530" t="s">
        <v>198</v>
      </c>
      <c r="AF8" s="530"/>
      <c r="AG8" s="46"/>
      <c r="AH8" s="46"/>
      <c r="AI8" s="46"/>
      <c r="AJ8" s="46"/>
      <c r="AK8" s="46"/>
      <c r="AL8" s="351"/>
      <c r="AM8" s="351"/>
      <c r="AN8" s="46"/>
      <c r="AO8" s="45"/>
      <c r="AP8" s="45"/>
      <c r="AQ8" s="45"/>
      <c r="AR8" s="45"/>
      <c r="AS8" s="45"/>
      <c r="AT8" s="46"/>
      <c r="AU8" s="13"/>
      <c r="AV8" s="7"/>
      <c r="AW8" s="19" t="s">
        <v>116</v>
      </c>
      <c r="AX8" s="41"/>
      <c r="AY8" s="39"/>
      <c r="AZ8" s="40" t="s">
        <v>136</v>
      </c>
      <c r="BA8" s="38"/>
      <c r="BB8" s="39"/>
      <c r="BC8" s="19" t="s">
        <v>137</v>
      </c>
      <c r="BD8" s="15"/>
      <c r="BE8" s="13"/>
      <c r="BF8" s="7"/>
      <c r="BG8" s="19" t="s">
        <v>116</v>
      </c>
      <c r="BH8" s="41"/>
      <c r="BI8" s="39"/>
      <c r="BJ8" s="40" t="s">
        <v>136</v>
      </c>
      <c r="BK8" s="38"/>
      <c r="BL8" s="39"/>
      <c r="BM8" s="19" t="s">
        <v>137</v>
      </c>
      <c r="BN8" s="15"/>
      <c r="BO8" s="13"/>
      <c r="BP8" s="7"/>
      <c r="BQ8" s="19" t="s">
        <v>116</v>
      </c>
      <c r="BR8" s="41"/>
      <c r="BS8" s="39"/>
      <c r="BT8" s="40" t="s">
        <v>136</v>
      </c>
      <c r="BU8" s="38"/>
      <c r="BV8" s="39"/>
      <c r="BW8" s="19" t="s">
        <v>137</v>
      </c>
      <c r="BX8" s="15"/>
      <c r="BY8" s="13"/>
      <c r="BZ8" s="7"/>
      <c r="CA8" s="19" t="s">
        <v>116</v>
      </c>
      <c r="CB8" s="41"/>
      <c r="CC8" s="39"/>
      <c r="CD8" s="40" t="s">
        <v>136</v>
      </c>
      <c r="CE8" s="38"/>
      <c r="CF8" s="39"/>
      <c r="CG8" s="19" t="s">
        <v>137</v>
      </c>
      <c r="CH8" s="15"/>
      <c r="CI8" s="13"/>
      <c r="CJ8" s="7"/>
      <c r="CK8" s="19" t="s">
        <v>116</v>
      </c>
      <c r="CL8" s="41"/>
      <c r="CM8" s="39"/>
      <c r="CN8" s="40" t="s">
        <v>136</v>
      </c>
      <c r="CO8" s="38"/>
      <c r="CP8" s="39"/>
      <c r="CQ8" s="19" t="s">
        <v>137</v>
      </c>
      <c r="CR8" s="15"/>
      <c r="CS8" s="13"/>
      <c r="CT8" s="7"/>
      <c r="CU8" s="19" t="s">
        <v>116</v>
      </c>
      <c r="CV8" s="41"/>
      <c r="CW8" s="39"/>
      <c r="CX8" s="40" t="s">
        <v>136</v>
      </c>
      <c r="CY8" s="38"/>
      <c r="CZ8" s="39"/>
      <c r="DA8" s="19" t="s">
        <v>137</v>
      </c>
      <c r="DB8" s="15"/>
      <c r="DC8" s="13"/>
      <c r="DD8" s="7"/>
      <c r="DE8" s="19" t="s">
        <v>116</v>
      </c>
      <c r="DF8" s="41"/>
      <c r="DG8" s="39"/>
      <c r="DH8" s="40" t="s">
        <v>136</v>
      </c>
      <c r="DI8" s="38"/>
      <c r="DJ8" s="39"/>
      <c r="DK8" s="19" t="s">
        <v>137</v>
      </c>
      <c r="DL8" s="15"/>
      <c r="DM8" s="13"/>
      <c r="DN8" s="7"/>
      <c r="DO8" s="19" t="s">
        <v>116</v>
      </c>
      <c r="DP8" s="41"/>
      <c r="DQ8" s="39"/>
      <c r="DR8" s="40" t="s">
        <v>136</v>
      </c>
      <c r="DS8" s="38"/>
      <c r="DT8" s="39"/>
      <c r="DU8" s="19" t="s">
        <v>137</v>
      </c>
      <c r="DV8" s="15"/>
      <c r="DW8" s="13"/>
      <c r="DX8" s="7"/>
      <c r="DY8" s="19" t="s">
        <v>116</v>
      </c>
      <c r="DZ8" s="41"/>
      <c r="EA8" s="39"/>
      <c r="EB8" s="40" t="s">
        <v>136</v>
      </c>
      <c r="EC8" s="38"/>
      <c r="ED8" s="39"/>
      <c r="EE8" s="19" t="s">
        <v>137</v>
      </c>
      <c r="EF8" s="15"/>
      <c r="EG8" s="13"/>
      <c r="EH8" s="7"/>
      <c r="EI8" s="19" t="s">
        <v>116</v>
      </c>
      <c r="EJ8" s="41"/>
      <c r="EK8" s="39"/>
      <c r="EL8" s="40" t="s">
        <v>136</v>
      </c>
      <c r="EM8" s="38"/>
      <c r="EN8" s="39"/>
      <c r="EO8" s="19" t="s">
        <v>137</v>
      </c>
      <c r="EP8" s="15"/>
      <c r="EQ8" s="13"/>
      <c r="ER8" s="7"/>
      <c r="ES8" s="19" t="s">
        <v>116</v>
      </c>
      <c r="ET8" s="41"/>
      <c r="EU8" s="39"/>
      <c r="EV8" s="40" t="s">
        <v>136</v>
      </c>
      <c r="EW8" s="38"/>
      <c r="EX8" s="39"/>
      <c r="EY8" s="19" t="s">
        <v>137</v>
      </c>
      <c r="EZ8" s="15"/>
      <c r="FA8" s="13"/>
      <c r="FB8" s="7"/>
      <c r="FC8" s="19" t="s">
        <v>116</v>
      </c>
      <c r="FD8" s="41"/>
      <c r="FE8" s="39"/>
      <c r="FF8" s="40" t="s">
        <v>136</v>
      </c>
      <c r="FG8" s="38"/>
      <c r="FH8" s="39"/>
      <c r="FI8" s="19" t="s">
        <v>137</v>
      </c>
      <c r="FJ8" s="15"/>
      <c r="FM8" s="54">
        <f>SUM(FM10:FM31)</f>
        <v>83.185999999999993</v>
      </c>
      <c r="FN8" s="54">
        <f>SUM(FN10:FN31)</f>
        <v>226</v>
      </c>
      <c r="FO8" s="54">
        <f t="shared" ref="FO8:FP8" si="0">SUM(FO10:FO31)</f>
        <v>2028.8999999999999</v>
      </c>
      <c r="FP8" s="54">
        <f t="shared" si="0"/>
        <v>1876.55</v>
      </c>
    </row>
    <row r="9" spans="2:172" ht="44.1">
      <c r="B9" s="190" t="s">
        <v>138</v>
      </c>
      <c r="C9" s="26" t="s">
        <v>139</v>
      </c>
      <c r="D9" s="26" t="s">
        <v>199</v>
      </c>
      <c r="E9" s="30" t="s">
        <v>140</v>
      </c>
      <c r="F9" s="122">
        <v>1</v>
      </c>
      <c r="G9" s="122">
        <v>2</v>
      </c>
      <c r="H9" s="122">
        <v>3</v>
      </c>
      <c r="I9" s="122">
        <v>4</v>
      </c>
      <c r="J9" s="122">
        <v>5</v>
      </c>
      <c r="K9" s="122">
        <v>6</v>
      </c>
      <c r="L9" s="122">
        <v>7</v>
      </c>
      <c r="M9" s="122">
        <v>8</v>
      </c>
      <c r="N9" s="122">
        <v>9</v>
      </c>
      <c r="O9" s="122">
        <v>10</v>
      </c>
      <c r="P9" s="122">
        <v>11</v>
      </c>
      <c r="Q9" s="122">
        <v>12</v>
      </c>
      <c r="R9" s="50" t="s">
        <v>145</v>
      </c>
      <c r="S9" s="30" t="s">
        <v>200</v>
      </c>
      <c r="T9" s="30" t="s">
        <v>201</v>
      </c>
      <c r="U9" s="30" t="s">
        <v>202</v>
      </c>
      <c r="V9" s="30" t="s">
        <v>13</v>
      </c>
      <c r="W9" s="53" t="s">
        <v>148</v>
      </c>
      <c r="X9" s="53" t="s">
        <v>149</v>
      </c>
      <c r="Y9" s="53" t="s">
        <v>150</v>
      </c>
      <c r="Z9" s="53" t="s">
        <v>151</v>
      </c>
      <c r="AA9" s="30" t="s">
        <v>152</v>
      </c>
      <c r="AB9" s="143"/>
      <c r="AC9" s="204" t="s">
        <v>203</v>
      </c>
      <c r="AD9" s="204" t="s">
        <v>204</v>
      </c>
      <c r="AE9" s="204" t="s">
        <v>203</v>
      </c>
      <c r="AF9" s="204" t="s">
        <v>204</v>
      </c>
      <c r="AG9" s="125" t="s">
        <v>205</v>
      </c>
      <c r="AH9" s="125" t="s">
        <v>206</v>
      </c>
      <c r="AI9" s="125" t="s">
        <v>207</v>
      </c>
      <c r="AJ9" s="125" t="s">
        <v>208</v>
      </c>
      <c r="AK9" s="225" t="s">
        <v>209</v>
      </c>
      <c r="AL9" s="351" t="s">
        <v>210</v>
      </c>
      <c r="AM9" s="177" t="s">
        <v>211</v>
      </c>
      <c r="AN9" s="226" t="s">
        <v>212</v>
      </c>
      <c r="AO9" s="47" t="s">
        <v>213</v>
      </c>
      <c r="AP9" s="47" t="s">
        <v>214</v>
      </c>
      <c r="AQ9" s="47" t="s">
        <v>215</v>
      </c>
      <c r="AR9" s="47" t="s">
        <v>216</v>
      </c>
      <c r="AS9" s="47" t="s">
        <v>217</v>
      </c>
      <c r="AT9" s="48" t="s">
        <v>154</v>
      </c>
      <c r="AU9" s="35" t="s">
        <v>155</v>
      </c>
      <c r="AV9" s="26" t="s">
        <v>156</v>
      </c>
      <c r="AW9" s="20" t="s">
        <v>157</v>
      </c>
      <c r="AX9" s="21" t="s">
        <v>165</v>
      </c>
      <c r="AY9" s="23" t="s">
        <v>159</v>
      </c>
      <c r="AZ9" s="21" t="s">
        <v>160</v>
      </c>
      <c r="BA9" s="21" t="s">
        <v>161</v>
      </c>
      <c r="BB9" s="21" t="s">
        <v>162</v>
      </c>
      <c r="BC9" s="21" t="s">
        <v>163</v>
      </c>
      <c r="BD9" s="23" t="s">
        <v>164</v>
      </c>
      <c r="BE9" s="35" t="s">
        <v>155</v>
      </c>
      <c r="BF9" s="26" t="s">
        <v>156</v>
      </c>
      <c r="BG9" s="20" t="s">
        <v>157</v>
      </c>
      <c r="BH9" s="21" t="s">
        <v>165</v>
      </c>
      <c r="BI9" s="23" t="s">
        <v>159</v>
      </c>
      <c r="BJ9" s="21" t="s">
        <v>160</v>
      </c>
      <c r="BK9" s="21" t="s">
        <v>161</v>
      </c>
      <c r="BL9" s="21" t="s">
        <v>162</v>
      </c>
      <c r="BM9" s="21" t="s">
        <v>163</v>
      </c>
      <c r="BN9" s="23" t="s">
        <v>164</v>
      </c>
      <c r="BO9" s="35" t="s">
        <v>155</v>
      </c>
      <c r="BP9" s="26" t="s">
        <v>156</v>
      </c>
      <c r="BQ9" s="20" t="s">
        <v>157</v>
      </c>
      <c r="BR9" s="21" t="s">
        <v>165</v>
      </c>
      <c r="BS9" s="23" t="s">
        <v>159</v>
      </c>
      <c r="BT9" s="21" t="s">
        <v>160</v>
      </c>
      <c r="BU9" s="21" t="s">
        <v>161</v>
      </c>
      <c r="BV9" s="21" t="s">
        <v>162</v>
      </c>
      <c r="BW9" s="21" t="s">
        <v>163</v>
      </c>
      <c r="BX9" s="23" t="s">
        <v>164</v>
      </c>
      <c r="BY9" s="35" t="s">
        <v>155</v>
      </c>
      <c r="BZ9" s="26" t="s">
        <v>156</v>
      </c>
      <c r="CA9" s="20" t="s">
        <v>157</v>
      </c>
      <c r="CB9" s="21" t="s">
        <v>165</v>
      </c>
      <c r="CC9" s="23" t="s">
        <v>159</v>
      </c>
      <c r="CD9" s="21" t="s">
        <v>160</v>
      </c>
      <c r="CE9" s="21" t="s">
        <v>161</v>
      </c>
      <c r="CF9" s="21" t="s">
        <v>162</v>
      </c>
      <c r="CG9" s="21" t="s">
        <v>163</v>
      </c>
      <c r="CH9" s="23" t="s">
        <v>164</v>
      </c>
      <c r="CI9" s="35" t="s">
        <v>155</v>
      </c>
      <c r="CJ9" s="26" t="s">
        <v>156</v>
      </c>
      <c r="CK9" s="20" t="s">
        <v>157</v>
      </c>
      <c r="CL9" s="21" t="s">
        <v>165</v>
      </c>
      <c r="CM9" s="23" t="s">
        <v>159</v>
      </c>
      <c r="CN9" s="21" t="s">
        <v>160</v>
      </c>
      <c r="CO9" s="21" t="s">
        <v>161</v>
      </c>
      <c r="CP9" s="21" t="s">
        <v>162</v>
      </c>
      <c r="CQ9" s="21" t="s">
        <v>163</v>
      </c>
      <c r="CR9" s="23" t="s">
        <v>164</v>
      </c>
      <c r="CS9" s="35" t="s">
        <v>155</v>
      </c>
      <c r="CT9" s="26" t="s">
        <v>156</v>
      </c>
      <c r="CU9" s="20" t="s">
        <v>157</v>
      </c>
      <c r="CV9" s="21" t="s">
        <v>165</v>
      </c>
      <c r="CW9" s="23" t="s">
        <v>159</v>
      </c>
      <c r="CX9" s="21" t="s">
        <v>160</v>
      </c>
      <c r="CY9" s="21" t="s">
        <v>161</v>
      </c>
      <c r="CZ9" s="21" t="s">
        <v>162</v>
      </c>
      <c r="DA9" s="21" t="s">
        <v>163</v>
      </c>
      <c r="DB9" s="23" t="s">
        <v>164</v>
      </c>
      <c r="DC9" s="35" t="s">
        <v>155</v>
      </c>
      <c r="DD9" s="26" t="s">
        <v>156</v>
      </c>
      <c r="DE9" s="20" t="s">
        <v>157</v>
      </c>
      <c r="DF9" s="21" t="s">
        <v>165</v>
      </c>
      <c r="DG9" s="23" t="s">
        <v>159</v>
      </c>
      <c r="DH9" s="21" t="s">
        <v>160</v>
      </c>
      <c r="DI9" s="21" t="s">
        <v>161</v>
      </c>
      <c r="DJ9" s="21" t="s">
        <v>162</v>
      </c>
      <c r="DK9" s="21" t="s">
        <v>163</v>
      </c>
      <c r="DL9" s="23" t="s">
        <v>164</v>
      </c>
      <c r="DM9" s="35" t="s">
        <v>155</v>
      </c>
      <c r="DN9" s="26" t="s">
        <v>156</v>
      </c>
      <c r="DO9" s="20" t="s">
        <v>157</v>
      </c>
      <c r="DP9" s="21" t="s">
        <v>165</v>
      </c>
      <c r="DQ9" s="23" t="s">
        <v>159</v>
      </c>
      <c r="DR9" s="21" t="s">
        <v>160</v>
      </c>
      <c r="DS9" s="21" t="s">
        <v>161</v>
      </c>
      <c r="DT9" s="21" t="s">
        <v>162</v>
      </c>
      <c r="DU9" s="21" t="s">
        <v>163</v>
      </c>
      <c r="DV9" s="23" t="s">
        <v>164</v>
      </c>
      <c r="DW9" s="35" t="s">
        <v>155</v>
      </c>
      <c r="DX9" s="26" t="s">
        <v>156</v>
      </c>
      <c r="DY9" s="20" t="s">
        <v>157</v>
      </c>
      <c r="DZ9" s="21" t="s">
        <v>165</v>
      </c>
      <c r="EA9" s="23" t="s">
        <v>159</v>
      </c>
      <c r="EB9" s="21" t="s">
        <v>160</v>
      </c>
      <c r="EC9" s="21" t="s">
        <v>161</v>
      </c>
      <c r="ED9" s="21" t="s">
        <v>162</v>
      </c>
      <c r="EE9" s="21" t="s">
        <v>163</v>
      </c>
      <c r="EF9" s="23" t="s">
        <v>164</v>
      </c>
      <c r="EG9" s="35" t="s">
        <v>155</v>
      </c>
      <c r="EH9" s="26" t="s">
        <v>156</v>
      </c>
      <c r="EI9" s="20" t="s">
        <v>157</v>
      </c>
      <c r="EJ9" s="21" t="s">
        <v>165</v>
      </c>
      <c r="EK9" s="23" t="s">
        <v>159</v>
      </c>
      <c r="EL9" s="21" t="s">
        <v>160</v>
      </c>
      <c r="EM9" s="21" t="s">
        <v>161</v>
      </c>
      <c r="EN9" s="21" t="s">
        <v>162</v>
      </c>
      <c r="EO9" s="21" t="s">
        <v>163</v>
      </c>
      <c r="EP9" s="23" t="s">
        <v>164</v>
      </c>
      <c r="EQ9" s="35" t="s">
        <v>155</v>
      </c>
      <c r="ER9" s="26" t="s">
        <v>156</v>
      </c>
      <c r="ES9" s="20" t="s">
        <v>157</v>
      </c>
      <c r="ET9" s="21" t="s">
        <v>165</v>
      </c>
      <c r="EU9" s="23" t="s">
        <v>159</v>
      </c>
      <c r="EV9" s="21" t="s">
        <v>160</v>
      </c>
      <c r="EW9" s="21" t="s">
        <v>161</v>
      </c>
      <c r="EX9" s="21" t="s">
        <v>162</v>
      </c>
      <c r="EY9" s="21" t="s">
        <v>163</v>
      </c>
      <c r="EZ9" s="23" t="s">
        <v>164</v>
      </c>
      <c r="FA9" s="35" t="s">
        <v>155</v>
      </c>
      <c r="FB9" s="26" t="s">
        <v>156</v>
      </c>
      <c r="FC9" s="20" t="s">
        <v>157</v>
      </c>
      <c r="FD9" s="21" t="s">
        <v>165</v>
      </c>
      <c r="FE9" s="23" t="s">
        <v>159</v>
      </c>
      <c r="FF9" s="21" t="s">
        <v>160</v>
      </c>
      <c r="FG9" s="21" t="s">
        <v>161</v>
      </c>
      <c r="FH9" s="21" t="s">
        <v>162</v>
      </c>
      <c r="FI9" s="21" t="s">
        <v>163</v>
      </c>
      <c r="FJ9" s="23" t="s">
        <v>164</v>
      </c>
      <c r="FM9" s="24" t="s">
        <v>218</v>
      </c>
      <c r="FN9" s="24" t="s">
        <v>219</v>
      </c>
      <c r="FO9" s="24" t="s">
        <v>220</v>
      </c>
      <c r="FP9" s="24" t="s">
        <v>221</v>
      </c>
    </row>
    <row r="10" spans="2:172" ht="132">
      <c r="B10" s="3" t="s">
        <v>222</v>
      </c>
      <c r="C10" s="187" t="s">
        <v>223</v>
      </c>
      <c r="D10" s="28" t="s">
        <v>224</v>
      </c>
      <c r="E10" s="28">
        <v>5</v>
      </c>
      <c r="F10" s="123" t="str">
        <f t="shared" ref="F10:F31" si="1">IF($E10&lt;F$9,"",IF(AND(AY10&gt;0.6,BB10&lt;=8,BC10=BD10),"○","×")&amp;CHAR(10)&amp;"[P・Q]"&amp;CHAR(10)&amp;IF(AY10="","--",IF(AY10&gt;0.6,"○","×"))&amp;IF(BB10="","・--",IF(BB10&lt;=8,"・○","・×")))</f>
        <v>○
[P・Q]
○・○</v>
      </c>
      <c r="G10" s="123" t="str">
        <f t="shared" ref="G10:G31" si="2">IF($E10&lt;G$9,"",IF(AND(BI10&gt;0.6,BL10&lt;=8,BM10=BN10),"○","×")&amp;CHAR(10)&amp;"[P・Q]"&amp;CHAR(10)&amp;IF(BI10="","--",IF(BI10&gt;0.6,"○","×"))&amp;IF(BL10="","・--",IF(BL10&lt;=8,"・○","・×")))</f>
        <v>○
[P・Q]
○・○</v>
      </c>
      <c r="H10" s="123" t="str">
        <f t="shared" ref="H10:H31" si="3">IF($E10&lt;H$9,"",IF(AND(BS10&gt;0.6,BV10&lt;=8,BW10=BX10),"○","×")&amp;CHAR(10)&amp;"[P・Q]"&amp;CHAR(10)&amp;IF(BS10="","--",IF(BS10&gt;0.6,"○","×"))&amp;IF(BV10="","・--",IF(BV10&lt;=8,"・○","・×")))</f>
        <v>○
[P・Q]
○・○</v>
      </c>
      <c r="I10" s="123" t="str">
        <f t="shared" ref="I10:I31" si="4">IF($E10&lt;I$9,"",IF(AND(CC10&gt;0.6,CF10&lt;=8,CG10=CH10),"○","×")&amp;CHAR(10)&amp;"[P・Q]"&amp;CHAR(10)&amp;IF(CC10="","--",IF(CC10&gt;0.6,"○","×"))&amp;IF(CF10="","・--",IF(CF10&lt;=8,"・○","・×")))</f>
        <v>○
[P・Q]
○・○</v>
      </c>
      <c r="J10" s="123" t="str">
        <f t="shared" ref="J10:J31" si="5">IF($E10&lt;J$9,"",IF(AND(CM10&gt;0.6,CP10&lt;=8,CQ10=CR10),"○","×")&amp;CHAR(10)&amp;"[P・Q]"&amp;CHAR(10)&amp;IF(CM10="","--",IF(CM10&gt;0.6,"○","×"))&amp;IF(CP10="","・--",IF(CP10&lt;=8,"・○","・×")))</f>
        <v>×
[P・Q]
--・--</v>
      </c>
      <c r="K10" s="123" t="str">
        <f t="shared" ref="K10:K31" si="6">IF($E10&lt;K$9,"",IF(AND(CW10&gt;0.6,CZ10&lt;=8,DA10=DB10),"○","×")&amp;CHAR(10)&amp;"[P・Q]"&amp;CHAR(10)&amp;IF(CW10="","--",IF(CW10&gt;0.6,"○","×"))&amp;IF(DA10="","・--",IF(DA10&lt;=8,"・○","・×")))</f>
        <v/>
      </c>
      <c r="L10" s="123" t="str">
        <f t="shared" ref="L10:L31" si="7">IF($E10&lt;L$9,"",IF(AND(DG10&gt;0.6,DJ10&lt;=8,DK10=DL10),"○","×")&amp;CHAR(10)&amp;"[P・Q]"&amp;CHAR(10)&amp;IF(DG10="","--",IF(DG10&gt;0.6,"○","×"))&amp;IF(DJ10="","・--",IF(DJ10&lt;=8,"・○","・×")))</f>
        <v/>
      </c>
      <c r="M10" s="123" t="str">
        <f t="shared" ref="M10:M31" si="8">IF($E10&lt;M$9,"",IF(AND(DQ10&gt;0.6,DT10&lt;=8,DU10=DV10),"○","×")&amp;CHAR(10)&amp;"[P・Q]"&amp;CHAR(10)&amp;IF(DQ10="","--",IF(DQ10&gt;0.6,"○","×"))&amp;IF(DT10="","・--",IF(DT10&lt;=8,"・○","・×")))</f>
        <v/>
      </c>
      <c r="N10" s="123" t="str">
        <f t="shared" ref="N10:N31" si="9">IF($E10&lt;N$9,"",IF(AND(EA10&gt;0.6,ED10&lt;=8,EE10=EF10),"○","×")&amp;CHAR(10)&amp;"[P・Q]"&amp;CHAR(10)&amp;IF(EA10="","--",IF(EA10&gt;0.6,"○","×"))&amp;IF(ED10="","・--",IF(ED10&lt;=8,"・○","・×")))</f>
        <v/>
      </c>
      <c r="O10" s="123" t="str">
        <f t="shared" ref="O10:O31" si="10">IF($E10&lt;O$9,"",IF(AND(EK10&gt;0.6,EN10&lt;=8,EO10=EP10),"○","×")&amp;CHAR(10)&amp;"[P・Q]"&amp;CHAR(10)&amp;IF(EK10="","--",IF(EK10&gt;0.6,"○","×"))&amp;IF(EN10="","・--",IF(EN10&lt;=8,"・○","・×")))</f>
        <v/>
      </c>
      <c r="P10" s="123" t="str">
        <f t="shared" ref="P10:P31" si="11">IF($E10&lt;P$9,"",IF(AND(EU10&gt;0.6,EX10&lt;=8,EY10=EZ10),"○","×")&amp;CHAR(10)&amp;"[P・Q]"&amp;CHAR(10)&amp;IF(EU10="","--",IF(EU10&gt;0.6,"○","×"))&amp;IF(EX10="","・--",IF(EX10&lt;=8,"・○","・×")))</f>
        <v/>
      </c>
      <c r="Q10" s="123" t="str">
        <f t="shared" ref="Q10:Q31" si="12">IF($E10&lt;Q$9,"",IF(AND(FE10&gt;0.6,FH10&lt;=8,FI10=FJ10),"○","×")&amp;CHAR(10)&amp;"[P・Q]"&amp;CHAR(10)&amp;IF(FE10="","--",IF(FE10&gt;0.6,"○","×"))&amp;IF(FH10="","・--",IF(FH10&lt;=8,"・○","・×")))</f>
        <v/>
      </c>
      <c r="R10" s="76">
        <f t="shared" ref="R10:R31" si="13">COUNTIF(AU10:FJ10,"○")/E10</f>
        <v>0.8</v>
      </c>
      <c r="S10" s="28">
        <v>3</v>
      </c>
      <c r="T10" s="28">
        <v>3</v>
      </c>
      <c r="U10" s="28">
        <v>5</v>
      </c>
      <c r="V10" s="28">
        <v>3</v>
      </c>
      <c r="W10" s="77">
        <f t="shared" ref="W10:W31" si="14">((COUNTIF(AY10,"&gt;=0.6")+COUNTIF(BI10,"&gt;=0.6")+COUNTIF(BS10,"&gt;=0.6")+COUNTIF(CC10,"&gt;=0.6")+COUNTIF(CM10,"&gt;=0.6")+COUNTIF(CW10,"&gt;=0.6")+COUNTIF(DG10,"&gt;=0.6")+COUNTIF(DQ10,"&gt;=0.6")+COUNTIF(EA10,"&gt;=0.6")+COUNTIF(EK10,"&gt;=0.6")+COUNTIF(EU10,"&gt;=0.6")+COUNTIF(FE10,"&gt;=0.6"))*(75/(E10*2)))</f>
        <v>30</v>
      </c>
      <c r="X10" s="77">
        <f t="shared" ref="X10:X31" si="15">((COUNTIF(BB10,"&lt;=8")+COUNTIF(BL10,"&lt;=8")+COUNTIF(BV10,"&lt;=8")+COUNTIF(CF10,"&lt;=8")+COUNTIF(CP10,"&lt;=8")+COUNTIF(CZ10,"&lt;=8")+COUNTIF(DJ10,"&lt;=8")+COUNTIF(DT10,"&lt;=8")+COUNTIF(ED10,"&lt;=8")+COUNTIF(EN10,"&lt;=8")+COUNTIF(EX10,"&lt;=8")+COUNTIF(FH10,"&lt;=8"))*(75/(E10*2)))</f>
        <v>30</v>
      </c>
      <c r="Y10" s="77" cm="1">
        <f t="array" ref="Y10">_xlfn.IFS(R10&gt;=0.8,5,R10&gt;=0.6,3,R10&gt;=0.2,1,R10&lt;0.2,0)</f>
        <v>5</v>
      </c>
      <c r="Z10" s="55">
        <f>SUM(S10:Y10)</f>
        <v>79</v>
      </c>
      <c r="AA10" s="199" t="s">
        <v>225</v>
      </c>
      <c r="AB10" s="5"/>
      <c r="AC10" s="80" t="s">
        <v>226</v>
      </c>
      <c r="AD10" s="5" t="s">
        <v>227</v>
      </c>
      <c r="AE10" s="5"/>
      <c r="AF10" s="5" t="s">
        <v>228</v>
      </c>
      <c r="AG10" s="310">
        <f>TaskEndDay!H4</f>
        <v>0.8</v>
      </c>
      <c r="AH10" s="205">
        <f t="shared" ref="AH10:AH27" si="16">IFERROR(AVERAGE(AY10,BI10,BS10,CC10,CM10,CW10,DG10,DQ10,EA10,EK10)," ")</f>
        <v>0.87130309523926552</v>
      </c>
      <c r="AI10" s="206">
        <f t="shared" ref="AI10:AI27" si="17">IFERROR(AVERAGE(BB10,BL10,BV10,CF10,CP10,CZ10,DJ10,DT10,ED10,EN10)," ")</f>
        <v>1.9211016972556842</v>
      </c>
      <c r="AJ10" s="80" t="str">
        <f t="shared" ref="AJ10:AJ27" si="18">IFERROR(IF(AH10&gt;=0.6,"HIGH","LOW"),"")</f>
        <v>HIGH</v>
      </c>
      <c r="AK10" s="191" t="str">
        <f t="shared" ref="AK10:AK27" si="19">IFERROR(IF(AI10&lt;=8,"HIGH","LOW"),"")</f>
        <v>HIGH</v>
      </c>
      <c r="AL10" s="280" t="s">
        <v>229</v>
      </c>
      <c r="AM10" s="130" t="s">
        <v>230</v>
      </c>
      <c r="AN10" s="126" t="str">
        <f>IF(AND(Z10&gt;Summary!$C$5, Z10&lt;=Summary!$D$5),Summary!$B$5,IF(AND(Z10&gt;Summary!$C$6, Z10&lt;=Summary!$D$6),Summary!$B$6,IF(AND(Z10&gt;Summary!$C$7, Z10&lt;=Summary!$D$7),Summary!$B$7,Summary!$B$8)))</f>
        <v>◎</v>
      </c>
      <c r="AO10" s="14" t="s">
        <v>168</v>
      </c>
      <c r="AP10" s="14"/>
      <c r="AQ10" s="14"/>
      <c r="AR10" s="14" t="s">
        <v>168</v>
      </c>
      <c r="AS10" s="14"/>
      <c r="AT10" s="29" t="s">
        <v>231</v>
      </c>
      <c r="AU10" s="36" t="s">
        <v>232</v>
      </c>
      <c r="AV10" s="4" t="s">
        <v>168</v>
      </c>
      <c r="AW10" s="6">
        <v>22.6</v>
      </c>
      <c r="AX10" s="6">
        <v>27</v>
      </c>
      <c r="AY10" s="33">
        <f>IF(AX10="","",AW10/AX10)</f>
        <v>0.83703703703703713</v>
      </c>
      <c r="AZ10" s="42">
        <v>0.42099999999999999</v>
      </c>
      <c r="BA10" s="3">
        <v>0</v>
      </c>
      <c r="BB10" s="37">
        <f>IF(BA10="","",BA10/AZ10)</f>
        <v>0</v>
      </c>
      <c r="BC10" s="3">
        <v>0</v>
      </c>
      <c r="BD10" s="3">
        <v>0</v>
      </c>
      <c r="BE10" s="36" t="s">
        <v>233</v>
      </c>
      <c r="BF10" s="4" t="s">
        <v>168</v>
      </c>
      <c r="BG10" s="6">
        <v>16.100000000000001</v>
      </c>
      <c r="BH10" s="6">
        <v>18.5</v>
      </c>
      <c r="BI10" s="33">
        <f>IF(BH10="","",BG10/BH10)</f>
        <v>0.87027027027027037</v>
      </c>
      <c r="BJ10" s="42">
        <v>0.64300000000000002</v>
      </c>
      <c r="BK10" s="3">
        <v>3</v>
      </c>
      <c r="BL10" s="37">
        <f>IF(BK10="","",BK10/BJ10)</f>
        <v>4.6656298600311041</v>
      </c>
      <c r="BM10" s="3">
        <v>3</v>
      </c>
      <c r="BN10" s="3">
        <v>3</v>
      </c>
      <c r="BO10" s="36" t="s">
        <v>234</v>
      </c>
      <c r="BP10" s="4" t="s">
        <v>168</v>
      </c>
      <c r="BQ10" s="6">
        <v>10.5</v>
      </c>
      <c r="BR10" s="6">
        <v>13</v>
      </c>
      <c r="BS10" s="33">
        <f>IF(BR10="","",BQ10/BR10)</f>
        <v>0.80769230769230771</v>
      </c>
      <c r="BT10" s="42">
        <v>2.552</v>
      </c>
      <c r="BU10" s="3">
        <v>4</v>
      </c>
      <c r="BV10" s="37">
        <f>IF(BU10="","",BU10/BT10)</f>
        <v>1.567398119122257</v>
      </c>
      <c r="BW10" s="3">
        <v>4</v>
      </c>
      <c r="BX10" s="3">
        <v>4</v>
      </c>
      <c r="BY10" s="36" t="s">
        <v>235</v>
      </c>
      <c r="BZ10" s="4" t="s">
        <v>168</v>
      </c>
      <c r="CA10" s="6">
        <v>22.8</v>
      </c>
      <c r="CB10" s="6">
        <v>23.5</v>
      </c>
      <c r="CC10" s="33">
        <f>IF(CB10="","",CA10/CB10)</f>
        <v>0.97021276595744688</v>
      </c>
      <c r="CD10" s="42">
        <v>2.0670000000000002</v>
      </c>
      <c r="CE10" s="3">
        <v>3</v>
      </c>
      <c r="CF10" s="37">
        <f>IF(CE10="","",CE10/CD10)</f>
        <v>1.4513788098693758</v>
      </c>
      <c r="CG10" s="3">
        <v>3</v>
      </c>
      <c r="CH10" s="3">
        <v>3</v>
      </c>
      <c r="CI10" s="36" t="s">
        <v>236</v>
      </c>
      <c r="CJ10" s="4"/>
      <c r="CK10" s="6">
        <v>15.4</v>
      </c>
      <c r="CL10" s="6"/>
      <c r="CM10" s="33" t="str">
        <f>IF(CL10="","",CK10/CL10)</f>
        <v/>
      </c>
      <c r="CN10" s="42"/>
      <c r="CO10" s="3"/>
      <c r="CP10" s="37" t="str">
        <f>IF(CO10="","",CO10/CN10)</f>
        <v/>
      </c>
      <c r="CQ10" s="3"/>
      <c r="CR10" s="3"/>
      <c r="CS10" s="36"/>
      <c r="CT10" s="4"/>
      <c r="CU10" s="6"/>
      <c r="CV10" s="6"/>
      <c r="CW10" s="33" t="str">
        <f>IF(CV10="","",CU10/CV10)</f>
        <v/>
      </c>
      <c r="CX10" s="42"/>
      <c r="CY10" s="3"/>
      <c r="CZ10" s="37" t="str">
        <f>IF(CY10="","",CY10/CX10)</f>
        <v/>
      </c>
      <c r="DA10" s="3"/>
      <c r="DB10" s="3"/>
      <c r="DC10" s="36"/>
      <c r="DD10" s="4"/>
      <c r="DE10" s="6"/>
      <c r="DF10" s="6"/>
      <c r="DG10" s="33" t="str">
        <f>IF(DF10="","",DE10/DF10)</f>
        <v/>
      </c>
      <c r="DH10" s="42"/>
      <c r="DI10" s="3"/>
      <c r="DJ10" s="37" t="str">
        <f>IF(DI10="","",DI10/DH10)</f>
        <v/>
      </c>
      <c r="DK10" s="3"/>
      <c r="DL10" s="3"/>
      <c r="DM10" s="36"/>
      <c r="DN10" s="4"/>
      <c r="DO10" s="6"/>
      <c r="DP10" s="6"/>
      <c r="DQ10" s="33" t="str">
        <f>IF(DP10="","",DO10/DP10)</f>
        <v/>
      </c>
      <c r="DR10" s="42"/>
      <c r="DS10" s="3"/>
      <c r="DT10" s="37" t="str">
        <f>IF(DS10="","",DS10/DR10)</f>
        <v/>
      </c>
      <c r="DU10" s="3"/>
      <c r="DV10" s="3"/>
      <c r="DW10" s="36"/>
      <c r="DX10" s="4"/>
      <c r="DY10" s="6"/>
      <c r="DZ10" s="6"/>
      <c r="EA10" s="33" t="str">
        <f>IF(DZ10="","",DY10/DZ10)</f>
        <v/>
      </c>
      <c r="EB10" s="42"/>
      <c r="EC10" s="3"/>
      <c r="ED10" s="37" t="str">
        <f>IF(EC10="","",EC10/EB10)</f>
        <v/>
      </c>
      <c r="EE10" s="3"/>
      <c r="EF10" s="3"/>
      <c r="EG10" s="36"/>
      <c r="EH10" s="4"/>
      <c r="EI10" s="6"/>
      <c r="EJ10" s="6"/>
      <c r="EK10" s="33" t="str">
        <f>IF(EJ10="","",EI10/EJ10)</f>
        <v/>
      </c>
      <c r="EL10" s="42"/>
      <c r="EM10" s="3"/>
      <c r="EN10" s="37" t="str">
        <f>IF(EM10="","",EM10/EL10)</f>
        <v/>
      </c>
      <c r="EO10" s="3"/>
      <c r="EP10" s="3"/>
      <c r="EQ10" s="36"/>
      <c r="ER10" s="4"/>
      <c r="ES10" s="6"/>
      <c r="ET10" s="6"/>
      <c r="EU10" s="33" t="str">
        <f>IF(ET10="","",ES10/ET10)</f>
        <v/>
      </c>
      <c r="EV10" s="42"/>
      <c r="EW10" s="3"/>
      <c r="EX10" s="37" t="str">
        <f>IF(EW10="","",EW10/EV10)</f>
        <v/>
      </c>
      <c r="EY10" s="3"/>
      <c r="EZ10" s="3"/>
      <c r="FA10" s="36"/>
      <c r="FB10" s="4"/>
      <c r="FC10" s="6"/>
      <c r="FD10" s="6"/>
      <c r="FE10" s="33" t="str">
        <f>IF(FD10="","",FC10/FD10)</f>
        <v/>
      </c>
      <c r="FF10" s="42"/>
      <c r="FG10" s="3"/>
      <c r="FH10" s="37" t="str">
        <f>IF(FG10="","",FG10/FF10)</f>
        <v/>
      </c>
      <c r="FI10" s="3"/>
      <c r="FJ10" s="3"/>
      <c r="FM10" s="54">
        <f>SUM(FF10,EV10,EL10,EB10,DR10,DH10,CX10,CN10,CD10,BT10,BJ10,AZ10)</f>
        <v>5.6829999999999998</v>
      </c>
      <c r="FN10" s="54">
        <f>SUM(FG10,EW10,EM10,EC10,DS10,DI10,CY10,CO10,CE10,BU10,BK10,BA10)</f>
        <v>10</v>
      </c>
      <c r="FO10" s="471">
        <f>SUM(FC10,ES10,EI10,DY10,DO10,DE10,CU10,CK10,CA10,BQ10,BG10,AW10)</f>
        <v>87.4</v>
      </c>
      <c r="FP10" s="471">
        <f>SUM(FD10,ET10,EJ10,DZ10,DP10,DF10,CV10,CL10,CB10,BR10,BH10,AX10)</f>
        <v>82</v>
      </c>
    </row>
    <row r="11" spans="2:172" ht="330">
      <c r="B11" s="224" t="s">
        <v>237</v>
      </c>
      <c r="C11" s="27" t="s">
        <v>223</v>
      </c>
      <c r="D11" s="28" t="s">
        <v>224</v>
      </c>
      <c r="E11" s="28">
        <v>3</v>
      </c>
      <c r="F11" s="123" t="str">
        <f t="shared" si="1"/>
        <v>○
[P・Q]
○・○</v>
      </c>
      <c r="G11" s="123" t="str">
        <f t="shared" si="2"/>
        <v>×
[P・Q]
○・--</v>
      </c>
      <c r="H11" s="123" t="str">
        <f t="shared" si="3"/>
        <v>×
[P・Q]
○・×</v>
      </c>
      <c r="I11" s="123" t="str">
        <f t="shared" si="4"/>
        <v/>
      </c>
      <c r="J11" s="123" t="str">
        <f t="shared" si="5"/>
        <v/>
      </c>
      <c r="K11" s="123" t="str">
        <f t="shared" si="6"/>
        <v/>
      </c>
      <c r="L11" s="123" t="str">
        <f t="shared" si="7"/>
        <v/>
      </c>
      <c r="M11" s="123" t="str">
        <f t="shared" si="8"/>
        <v/>
      </c>
      <c r="N11" s="123" t="str">
        <f t="shared" si="9"/>
        <v/>
      </c>
      <c r="O11" s="123" t="str">
        <f t="shared" si="10"/>
        <v/>
      </c>
      <c r="P11" s="123" t="str">
        <f t="shared" si="11"/>
        <v/>
      </c>
      <c r="Q11" s="123" t="str">
        <f t="shared" si="12"/>
        <v/>
      </c>
      <c r="R11" s="76">
        <f t="shared" si="13"/>
        <v>0.66666666666666663</v>
      </c>
      <c r="S11" s="28">
        <v>5</v>
      </c>
      <c r="T11" s="28">
        <v>3</v>
      </c>
      <c r="U11" s="28">
        <v>3</v>
      </c>
      <c r="V11" s="28">
        <v>5</v>
      </c>
      <c r="W11" s="77">
        <f t="shared" si="14"/>
        <v>37.5</v>
      </c>
      <c r="X11" s="77">
        <f t="shared" si="15"/>
        <v>12.5</v>
      </c>
      <c r="Y11" s="77" cm="1">
        <f t="array" ref="Y11">_xlfn.IFS(R11&gt;=0.8,5,R11&gt;=0.6,3,R11&gt;=0.2,1,R11&lt;0.2,0)</f>
        <v>3</v>
      </c>
      <c r="Z11" s="55">
        <f>SUM(S11:Y11)</f>
        <v>69</v>
      </c>
      <c r="AA11" s="130" t="s">
        <v>238</v>
      </c>
      <c r="AB11" s="220" t="s">
        <v>239</v>
      </c>
      <c r="AC11" s="5" t="s">
        <v>240</v>
      </c>
      <c r="AD11" s="5" t="s">
        <v>241</v>
      </c>
      <c r="AE11" s="196"/>
      <c r="AF11" s="130" t="s">
        <v>242</v>
      </c>
      <c r="AG11" s="310">
        <f>TaskEndDay!H5</f>
        <v>0.66666666666666663</v>
      </c>
      <c r="AH11" s="205">
        <f t="shared" si="16"/>
        <v>0.82273409656089214</v>
      </c>
      <c r="AI11" s="206">
        <f>IFERROR(AVERAGE(BB11,BL11,BV11,CF11,CP11,CZ11,DJ11,DT11,ED11,EN11)," ")</f>
        <v>12.786992985012787</v>
      </c>
      <c r="AJ11" s="80" t="str">
        <f t="shared" si="18"/>
        <v>HIGH</v>
      </c>
      <c r="AK11" s="80" t="str">
        <f>IFERROR(IF(AI11&lt;=8,"HIGH","LOW"),"")</f>
        <v>LOW</v>
      </c>
      <c r="AL11" s="280" t="s">
        <v>243</v>
      </c>
      <c r="AM11" s="353" t="s">
        <v>244</v>
      </c>
      <c r="AN11" s="126" t="str">
        <f>IF(AND(Z11&gt;Summary!$C$5, Z11&lt;=Summary!$D$5),Summary!$B$5,IF(AND(Z11&gt;Summary!$C$6, Z11&lt;=Summary!$D$6),Summary!$B$6,IF(AND(Z11&gt;Summary!$C$7, Z11&lt;=Summary!$D$7),Summary!$B$7,Summary!$B$8)))</f>
        <v>○</v>
      </c>
      <c r="AO11" s="14" t="s">
        <v>168</v>
      </c>
      <c r="AP11" s="14"/>
      <c r="AQ11" s="14"/>
      <c r="AR11" s="14"/>
      <c r="AS11" s="14" t="s">
        <v>168</v>
      </c>
      <c r="AT11" s="29" t="s">
        <v>245</v>
      </c>
      <c r="AU11" s="36" t="s">
        <v>246</v>
      </c>
      <c r="AV11" s="4" t="s">
        <v>168</v>
      </c>
      <c r="AW11" s="6">
        <v>22.7</v>
      </c>
      <c r="AX11" s="6">
        <v>29</v>
      </c>
      <c r="AY11" s="33">
        <f t="shared" ref="AY11:AY31" si="20">IF(AX11="","",AW11/AX11)</f>
        <v>0.78275862068965518</v>
      </c>
      <c r="AZ11" s="42">
        <v>1.3859999999999999</v>
      </c>
      <c r="BA11" s="3">
        <v>8</v>
      </c>
      <c r="BB11" s="37">
        <f t="shared" ref="BB11:BB31" si="21">IF(BA11="","",BA11/AZ11)</f>
        <v>5.7720057720057723</v>
      </c>
      <c r="BC11" s="3">
        <v>8</v>
      </c>
      <c r="BD11" s="3">
        <v>8</v>
      </c>
      <c r="BE11" s="36" t="s">
        <v>247</v>
      </c>
      <c r="BF11" s="4"/>
      <c r="BG11" s="6">
        <v>63</v>
      </c>
      <c r="BH11" s="6">
        <v>59</v>
      </c>
      <c r="BI11" s="33">
        <f t="shared" ref="BI11:BI31" si="22">IF(BH11="","",BG11/BH11)</f>
        <v>1.0677966101694916</v>
      </c>
      <c r="BJ11" s="42"/>
      <c r="BK11" s="3"/>
      <c r="BL11" s="37" t="str">
        <f t="shared" ref="BL11:BL31" si="23">IF(BK11="","",BK11/BJ11)</f>
        <v/>
      </c>
      <c r="BM11" s="3"/>
      <c r="BN11" s="3"/>
      <c r="BO11" s="36" t="s">
        <v>248</v>
      </c>
      <c r="BP11" s="4" t="s">
        <v>168</v>
      </c>
      <c r="BQ11" s="6">
        <v>10.5</v>
      </c>
      <c r="BR11" s="6">
        <v>17</v>
      </c>
      <c r="BS11" s="33">
        <f t="shared" ref="BS11:BS31" si="24">IF(BR11="","",BQ11/BR11)</f>
        <v>0.61764705882352944</v>
      </c>
      <c r="BT11" s="42">
        <v>0.10100000000000001</v>
      </c>
      <c r="BU11" s="3">
        <v>2</v>
      </c>
      <c r="BV11" s="37">
        <f t="shared" ref="BV11:BV31" si="25">IF(BU11="","",BU11/BT11)</f>
        <v>19.801980198019802</v>
      </c>
      <c r="BW11" s="3">
        <v>2</v>
      </c>
      <c r="BX11" s="3">
        <v>2</v>
      </c>
      <c r="BY11" s="36"/>
      <c r="BZ11" s="4"/>
      <c r="CA11" s="6"/>
      <c r="CB11" s="6"/>
      <c r="CC11" s="33" t="str">
        <f t="shared" ref="CC11:CC31" si="26">IF(CB11="","",CA11/CB11)</f>
        <v/>
      </c>
      <c r="CD11" s="42"/>
      <c r="CE11" s="3"/>
      <c r="CF11" s="37" t="str">
        <f t="shared" ref="CF11:CF31" si="27">IF(CE11="","",CE11/CD11)</f>
        <v/>
      </c>
      <c r="CG11" s="3"/>
      <c r="CH11" s="3"/>
      <c r="CI11" s="36"/>
      <c r="CJ11" s="4"/>
      <c r="CK11" s="6"/>
      <c r="CL11" s="6"/>
      <c r="CM11" s="33" t="str">
        <f t="shared" ref="CM11:CM31" si="28">IF(CL11="","",CK11/CL11)</f>
        <v/>
      </c>
      <c r="CN11" s="42"/>
      <c r="CO11" s="3"/>
      <c r="CP11" s="37" t="str">
        <f t="shared" ref="CP11:CP31" si="29">IF(CO11="","",CO11/CN11)</f>
        <v/>
      </c>
      <c r="CQ11" s="3"/>
      <c r="CR11" s="3"/>
      <c r="CS11" s="36"/>
      <c r="CT11" s="4"/>
      <c r="CU11" s="6"/>
      <c r="CV11" s="6"/>
      <c r="CW11" s="33" t="str">
        <f t="shared" ref="CW11:CW31" si="30">IF(CV11="","",CU11/CV11)</f>
        <v/>
      </c>
      <c r="CX11" s="42"/>
      <c r="CY11" s="3"/>
      <c r="CZ11" s="37" t="str">
        <f t="shared" ref="CZ11:CZ31" si="31">IF(CY11="","",CY11/CX11)</f>
        <v/>
      </c>
      <c r="DA11" s="3"/>
      <c r="DB11" s="3"/>
      <c r="DC11" s="36"/>
      <c r="DD11" s="4"/>
      <c r="DE11" s="6"/>
      <c r="DF11" s="6"/>
      <c r="DG11" s="33" t="str">
        <f t="shared" ref="DG11:DG31" si="32">IF(DF11="","",DE11/DF11)</f>
        <v/>
      </c>
      <c r="DH11" s="42"/>
      <c r="DI11" s="3"/>
      <c r="DJ11" s="37" t="str">
        <f t="shared" ref="DJ11:DJ31" si="33">IF(DI11="","",DI11/DH11)</f>
        <v/>
      </c>
      <c r="DK11" s="3"/>
      <c r="DL11" s="3"/>
      <c r="DM11" s="36"/>
      <c r="DN11" s="4"/>
      <c r="DO11" s="6"/>
      <c r="DP11" s="6"/>
      <c r="DQ11" s="33" t="str">
        <f t="shared" ref="DQ11:DQ31" si="34">IF(DP11="","",DO11/DP11)</f>
        <v/>
      </c>
      <c r="DR11" s="42"/>
      <c r="DS11" s="3"/>
      <c r="DT11" s="37" t="str">
        <f t="shared" ref="DT11:DT31" si="35">IF(DS11="","",DS11/DR11)</f>
        <v/>
      </c>
      <c r="DU11" s="3"/>
      <c r="DV11" s="3"/>
      <c r="DW11" s="36"/>
      <c r="DX11" s="4"/>
      <c r="DY11" s="6"/>
      <c r="DZ11" s="6"/>
      <c r="EA11" s="33" t="str">
        <f t="shared" ref="EA11:EA31" si="36">IF(DZ11="","",DY11/DZ11)</f>
        <v/>
      </c>
      <c r="EB11" s="42"/>
      <c r="EC11" s="3"/>
      <c r="ED11" s="37" t="str">
        <f t="shared" ref="ED11:ED31" si="37">IF(EC11="","",EC11/EB11)</f>
        <v/>
      </c>
      <c r="EE11" s="3"/>
      <c r="EF11" s="3"/>
      <c r="EG11" s="36"/>
      <c r="EH11" s="4"/>
      <c r="EI11" s="6"/>
      <c r="EJ11" s="6"/>
      <c r="EK11" s="33" t="str">
        <f t="shared" ref="EK11:EK31" si="38">IF(EJ11="","",EI11/EJ11)</f>
        <v/>
      </c>
      <c r="EL11" s="42"/>
      <c r="EM11" s="3"/>
      <c r="EN11" s="37" t="str">
        <f t="shared" ref="EN11:EN31" si="39">IF(EM11="","",EM11/EL11)</f>
        <v/>
      </c>
      <c r="EO11" s="3"/>
      <c r="EP11" s="3"/>
      <c r="EQ11" s="36"/>
      <c r="ER11" s="4"/>
      <c r="ES11" s="6"/>
      <c r="ET11" s="6"/>
      <c r="EU11" s="33" t="str">
        <f t="shared" ref="EU11:EU31" si="40">IF(ET11="","",ES11/ET11)</f>
        <v/>
      </c>
      <c r="EV11" s="42"/>
      <c r="EW11" s="3"/>
      <c r="EX11" s="37" t="str">
        <f t="shared" ref="EX11:EX31" si="41">IF(EW11="","",EW11/EV11)</f>
        <v/>
      </c>
      <c r="EY11" s="3"/>
      <c r="EZ11" s="3"/>
      <c r="FA11" s="36"/>
      <c r="FB11" s="4"/>
      <c r="FC11" s="6"/>
      <c r="FD11" s="6"/>
      <c r="FE11" s="33" t="str">
        <f t="shared" ref="FE11:FE31" si="42">IF(FD11="","",FC11/FD11)</f>
        <v/>
      </c>
      <c r="FF11" s="42"/>
      <c r="FG11" s="3"/>
      <c r="FH11" s="37" t="str">
        <f t="shared" ref="FH11:FH31" si="43">IF(FG11="","",FG11/FF11)</f>
        <v/>
      </c>
      <c r="FI11" s="3"/>
      <c r="FJ11" s="3"/>
      <c r="FM11" s="54">
        <f>SUM(FF11,EV11,EL11,EB11,DR11,DH11,CX11,CN11,CD11,BT11,BJ11,AZ11)</f>
        <v>1.4869999999999999</v>
      </c>
      <c r="FN11" s="54">
        <f>SUM(FG11,EW11,EM11,EC11,DS11,DI11,CY11,CO11,CE11,BU11,BK11,BA11)</f>
        <v>10</v>
      </c>
      <c r="FO11" s="471">
        <f t="shared" ref="FO11:FO31" si="44">SUM(FC11,ES11,EI11,DY11,DO11,DE11,CU11,CK11,CA11,BQ11,BG11,AW11)</f>
        <v>96.2</v>
      </c>
      <c r="FP11" s="471">
        <f t="shared" ref="FP11:FP31" si="45">SUM(FD11,ET11,EJ11,DZ11,DP11,DF11,CV11,CL11,CB11,BR11,BH11,AX11)</f>
        <v>105</v>
      </c>
    </row>
    <row r="12" spans="2:172" ht="186.95">
      <c r="B12" s="27" t="s">
        <v>249</v>
      </c>
      <c r="C12" s="27" t="s">
        <v>223</v>
      </c>
      <c r="D12" s="28" t="s">
        <v>224</v>
      </c>
      <c r="E12" s="28">
        <v>6</v>
      </c>
      <c r="F12" s="123" t="str">
        <f t="shared" si="1"/>
        <v>×
[P・Q]
×・○</v>
      </c>
      <c r="G12" s="123" t="str">
        <f t="shared" si="2"/>
        <v>○
[P・Q]
○・○</v>
      </c>
      <c r="H12" s="123" t="str">
        <f t="shared" si="3"/>
        <v>○
[P・Q]
○・○</v>
      </c>
      <c r="I12" s="123" t="str">
        <f t="shared" si="4"/>
        <v>○
[P・Q]
○・○</v>
      </c>
      <c r="J12" s="123" t="str">
        <f t="shared" si="5"/>
        <v>×
[P・Q]
○・--</v>
      </c>
      <c r="K12" s="123" t="str">
        <f t="shared" si="6"/>
        <v>○
[P・Q]
○・○</v>
      </c>
      <c r="L12" s="123" t="str">
        <f t="shared" si="7"/>
        <v/>
      </c>
      <c r="M12" s="123" t="str">
        <f t="shared" si="8"/>
        <v/>
      </c>
      <c r="N12" s="123" t="str">
        <f t="shared" si="9"/>
        <v/>
      </c>
      <c r="O12" s="123" t="str">
        <f t="shared" si="10"/>
        <v/>
      </c>
      <c r="P12" s="123" t="str">
        <f t="shared" si="11"/>
        <v/>
      </c>
      <c r="Q12" s="123" t="str">
        <f t="shared" si="12"/>
        <v/>
      </c>
      <c r="R12" s="76">
        <f t="shared" si="13"/>
        <v>1</v>
      </c>
      <c r="S12" s="28">
        <v>3</v>
      </c>
      <c r="T12" s="28">
        <v>3</v>
      </c>
      <c r="U12" s="28">
        <v>3</v>
      </c>
      <c r="V12" s="28">
        <v>3</v>
      </c>
      <c r="W12" s="77">
        <f t="shared" si="14"/>
        <v>31.25</v>
      </c>
      <c r="X12" s="77">
        <f t="shared" si="15"/>
        <v>31.25</v>
      </c>
      <c r="Y12" s="77" cm="1">
        <f t="array" ref="Y12">_xlfn.IFS(R12&gt;=0.8,5,R12&gt;=0.6,3,R12&gt;=0.2,1,R12&lt;0.2,0)</f>
        <v>5</v>
      </c>
      <c r="Z12" s="55">
        <f t="shared" ref="Z12:Z23" si="46">SUM(S12:Y12)</f>
        <v>79.5</v>
      </c>
      <c r="AA12" s="130" t="s">
        <v>250</v>
      </c>
      <c r="AB12" s="220" t="s">
        <v>239</v>
      </c>
      <c r="AC12" s="80" t="s">
        <v>251</v>
      </c>
      <c r="AD12" s="5" t="s">
        <v>252</v>
      </c>
      <c r="AE12" s="142"/>
      <c r="AF12" s="5" t="s">
        <v>253</v>
      </c>
      <c r="AG12" s="310">
        <f>TaskEndDay!H6</f>
        <v>1</v>
      </c>
      <c r="AH12" s="205">
        <f t="shared" ref="AH12:AH13" si="47">IFERROR(AVERAGE(AY12,BI12,BS12,CC12,CM12,CW12,DG12,DQ12,EA12,EK12)," ")</f>
        <v>0.75480896725216484</v>
      </c>
      <c r="AI12" s="206">
        <f t="shared" ref="AI12:AI13" si="48">IFERROR(AVERAGE(BB12,BL12,BV12,CF12,CP12,CZ12,DJ12,DT12,ED12,EN12)," ")</f>
        <v>4.1541236312512106</v>
      </c>
      <c r="AJ12" s="80" t="str">
        <f t="shared" si="18"/>
        <v>HIGH</v>
      </c>
      <c r="AK12" s="80" t="str">
        <f t="shared" si="19"/>
        <v>HIGH</v>
      </c>
      <c r="AL12" s="352" t="s">
        <v>254</v>
      </c>
      <c r="AM12" s="353" t="s">
        <v>255</v>
      </c>
      <c r="AN12" s="128" t="str">
        <f>IF(AND(Z12&gt;Summary!$C$5, Z12&lt;=Summary!$D$5),Summary!$B$5,IF(AND(Z12&gt;Summary!$C$6, Z12&lt;=Summary!$D$6),Summary!$B$6,IF(AND(Z12&gt;Summary!$C$7, Z12&lt;=Summary!$D$7),Summary!$B$7,Summary!$B$8)))</f>
        <v>◎</v>
      </c>
      <c r="AO12" s="14" t="s">
        <v>168</v>
      </c>
      <c r="AP12" s="14"/>
      <c r="AQ12" s="14"/>
      <c r="AR12" s="14"/>
      <c r="AS12" s="14" t="s">
        <v>168</v>
      </c>
      <c r="AT12" s="29" t="s">
        <v>231</v>
      </c>
      <c r="AU12" s="36" t="s">
        <v>256</v>
      </c>
      <c r="AV12" s="4" t="s">
        <v>168</v>
      </c>
      <c r="AW12" s="6">
        <v>22.8</v>
      </c>
      <c r="AX12" s="6">
        <v>42</v>
      </c>
      <c r="AY12" s="33">
        <f t="shared" si="20"/>
        <v>0.54285714285714293</v>
      </c>
      <c r="AZ12" s="42">
        <v>1.0369999999999999</v>
      </c>
      <c r="BA12" s="3">
        <v>7</v>
      </c>
      <c r="BB12" s="37">
        <f t="shared" si="21"/>
        <v>6.750241080038573</v>
      </c>
      <c r="BC12" s="3">
        <v>7</v>
      </c>
      <c r="BD12" s="3">
        <v>7</v>
      </c>
      <c r="BE12" s="36" t="s">
        <v>257</v>
      </c>
      <c r="BF12" s="4" t="s">
        <v>168</v>
      </c>
      <c r="BG12" s="6">
        <v>15.7</v>
      </c>
      <c r="BH12" s="6">
        <v>25</v>
      </c>
      <c r="BI12" s="33">
        <f t="shared" si="22"/>
        <v>0.628</v>
      </c>
      <c r="BJ12" s="42">
        <v>0.45900000000000002</v>
      </c>
      <c r="BK12" s="3">
        <v>2</v>
      </c>
      <c r="BL12" s="37">
        <f t="shared" si="23"/>
        <v>4.3572984749455337</v>
      </c>
      <c r="BM12" s="3">
        <v>2</v>
      </c>
      <c r="BN12" s="3">
        <v>2</v>
      </c>
      <c r="BO12" s="36" t="s">
        <v>258</v>
      </c>
      <c r="BP12" s="4" t="s">
        <v>168</v>
      </c>
      <c r="BQ12" s="6">
        <v>13.7</v>
      </c>
      <c r="BR12" s="6">
        <v>21</v>
      </c>
      <c r="BS12" s="33">
        <f t="shared" si="24"/>
        <v>0.65238095238095239</v>
      </c>
      <c r="BT12" s="42">
        <v>0.308</v>
      </c>
      <c r="BU12" s="3">
        <v>2</v>
      </c>
      <c r="BV12" s="37">
        <f t="shared" si="25"/>
        <v>6.4935064935064934</v>
      </c>
      <c r="BW12" s="3">
        <v>2</v>
      </c>
      <c r="BX12" s="3">
        <v>2</v>
      </c>
      <c r="BY12" s="36" t="s">
        <v>259</v>
      </c>
      <c r="BZ12" s="4" t="s">
        <v>168</v>
      </c>
      <c r="CA12" s="6">
        <v>22.7</v>
      </c>
      <c r="CB12" s="6">
        <v>25</v>
      </c>
      <c r="CC12" s="33">
        <f t="shared" si="26"/>
        <v>0.90799999999999992</v>
      </c>
      <c r="CD12" s="42">
        <v>0.63100000000000001</v>
      </c>
      <c r="CE12" s="3">
        <v>2</v>
      </c>
      <c r="CF12" s="37">
        <f t="shared" si="27"/>
        <v>3.1695721077654517</v>
      </c>
      <c r="CG12" s="3">
        <v>2</v>
      </c>
      <c r="CH12" s="3">
        <v>2</v>
      </c>
      <c r="CI12" s="36" t="s">
        <v>260</v>
      </c>
      <c r="CJ12" s="4" t="s">
        <v>168</v>
      </c>
      <c r="CK12" s="6">
        <v>34.700000000000003</v>
      </c>
      <c r="CL12" s="6">
        <v>31</v>
      </c>
      <c r="CM12" s="33">
        <f t="shared" si="28"/>
        <v>1.1193548387096774</v>
      </c>
      <c r="CN12" s="42">
        <v>0.80400000000000005</v>
      </c>
      <c r="CO12" s="3"/>
      <c r="CP12" s="37" t="str">
        <f t="shared" si="29"/>
        <v/>
      </c>
      <c r="CQ12" s="3"/>
      <c r="CR12" s="3"/>
      <c r="CS12" s="36" t="s">
        <v>261</v>
      </c>
      <c r="CT12" s="4" t="s">
        <v>168</v>
      </c>
      <c r="CU12" s="6">
        <v>15.6</v>
      </c>
      <c r="CV12" s="6">
        <v>23</v>
      </c>
      <c r="CW12" s="33">
        <f t="shared" si="30"/>
        <v>0.67826086956521736</v>
      </c>
      <c r="CX12" s="42">
        <v>0.26800000000000002</v>
      </c>
      <c r="CY12" s="3">
        <v>0</v>
      </c>
      <c r="CZ12" s="37">
        <f t="shared" si="31"/>
        <v>0</v>
      </c>
      <c r="DA12" s="3">
        <v>0</v>
      </c>
      <c r="DB12" s="3">
        <v>0</v>
      </c>
      <c r="DC12" s="36"/>
      <c r="DD12" s="4"/>
      <c r="DE12" s="6"/>
      <c r="DF12" s="6"/>
      <c r="DG12" s="33" t="str">
        <f t="shared" si="32"/>
        <v/>
      </c>
      <c r="DH12" s="42"/>
      <c r="DI12" s="3"/>
      <c r="DJ12" s="37" t="str">
        <f t="shared" si="33"/>
        <v/>
      </c>
      <c r="DK12" s="3"/>
      <c r="DL12" s="3"/>
      <c r="DM12" s="36"/>
      <c r="DN12" s="4"/>
      <c r="DO12" s="6"/>
      <c r="DP12" s="6"/>
      <c r="DQ12" s="33" t="str">
        <f t="shared" si="34"/>
        <v/>
      </c>
      <c r="DR12" s="42"/>
      <c r="DS12" s="3"/>
      <c r="DT12" s="37" t="str">
        <f t="shared" si="35"/>
        <v/>
      </c>
      <c r="DU12" s="3"/>
      <c r="DV12" s="3"/>
      <c r="DW12" s="36"/>
      <c r="DX12" s="4"/>
      <c r="DY12" s="6"/>
      <c r="DZ12" s="6"/>
      <c r="EA12" s="33" t="str">
        <f t="shared" si="36"/>
        <v/>
      </c>
      <c r="EB12" s="42"/>
      <c r="EC12" s="3"/>
      <c r="ED12" s="37" t="str">
        <f t="shared" si="37"/>
        <v/>
      </c>
      <c r="EE12" s="3"/>
      <c r="EF12" s="3"/>
      <c r="EG12" s="36"/>
      <c r="EH12" s="4"/>
      <c r="EI12" s="6"/>
      <c r="EJ12" s="6"/>
      <c r="EK12" s="33" t="str">
        <f t="shared" si="38"/>
        <v/>
      </c>
      <c r="EL12" s="42"/>
      <c r="EM12" s="3"/>
      <c r="EN12" s="37" t="str">
        <f t="shared" si="39"/>
        <v/>
      </c>
      <c r="EO12" s="3"/>
      <c r="EP12" s="3"/>
      <c r="EQ12" s="36"/>
      <c r="ER12" s="4"/>
      <c r="ES12" s="6"/>
      <c r="ET12" s="6"/>
      <c r="EU12" s="33" t="str">
        <f t="shared" si="40"/>
        <v/>
      </c>
      <c r="EV12" s="42"/>
      <c r="EW12" s="3"/>
      <c r="EX12" s="37" t="str">
        <f t="shared" si="41"/>
        <v/>
      </c>
      <c r="EY12" s="3"/>
      <c r="EZ12" s="3"/>
      <c r="FA12" s="36"/>
      <c r="FB12" s="4"/>
      <c r="FC12" s="6"/>
      <c r="FD12" s="6"/>
      <c r="FE12" s="33" t="str">
        <f t="shared" si="42"/>
        <v/>
      </c>
      <c r="FF12" s="42"/>
      <c r="FG12" s="3"/>
      <c r="FH12" s="37" t="str">
        <f t="shared" si="43"/>
        <v/>
      </c>
      <c r="FI12" s="3"/>
      <c r="FJ12" s="3"/>
      <c r="FM12" s="54">
        <f t="shared" ref="FM12:FM31" si="49">SUM(FF12,EV12,EL12,EB12,DR12,DH12,CX12,CN12,CD12,BT12,BJ12,AZ12)</f>
        <v>3.5070000000000001</v>
      </c>
      <c r="FN12" s="54">
        <f t="shared" ref="FN12:FN31" si="50">SUM(FG12,EW12,EM12,EC12,DS12,DI12,CY12,CO12,CE12,BU12,BK12,BA12)</f>
        <v>13</v>
      </c>
      <c r="FO12" s="471">
        <f t="shared" si="44"/>
        <v>125.2</v>
      </c>
      <c r="FP12" s="471">
        <f t="shared" si="45"/>
        <v>167</v>
      </c>
    </row>
    <row r="13" spans="2:172" ht="165">
      <c r="B13" s="3" t="s">
        <v>262</v>
      </c>
      <c r="C13" s="3" t="s">
        <v>223</v>
      </c>
      <c r="D13" s="28" t="s">
        <v>224</v>
      </c>
      <c r="E13" s="28">
        <v>6</v>
      </c>
      <c r="F13" s="123" t="str">
        <f t="shared" si="1"/>
        <v>○
[P・Q]
○・○</v>
      </c>
      <c r="G13" s="123" t="str">
        <f t="shared" si="2"/>
        <v>×
[P・Q]
○・×</v>
      </c>
      <c r="H13" s="123" t="str">
        <f t="shared" si="3"/>
        <v>○
[P・Q]
○・○</v>
      </c>
      <c r="I13" s="123" t="str">
        <f t="shared" si="4"/>
        <v>○
[P・Q]
○・○</v>
      </c>
      <c r="J13" s="123" t="str">
        <f t="shared" si="5"/>
        <v>×
[P・Q]
○・--</v>
      </c>
      <c r="K13" s="123" t="str">
        <f t="shared" si="6"/>
        <v>×
[P・Q]
--・--</v>
      </c>
      <c r="L13" s="123" t="str">
        <f t="shared" si="7"/>
        <v/>
      </c>
      <c r="M13" s="123" t="str">
        <f t="shared" si="8"/>
        <v/>
      </c>
      <c r="N13" s="123" t="str">
        <f t="shared" si="9"/>
        <v/>
      </c>
      <c r="O13" s="123" t="str">
        <f t="shared" si="10"/>
        <v/>
      </c>
      <c r="P13" s="123" t="str">
        <f t="shared" si="11"/>
        <v/>
      </c>
      <c r="Q13" s="123" t="str">
        <f t="shared" si="12"/>
        <v/>
      </c>
      <c r="R13" s="76">
        <f t="shared" si="13"/>
        <v>0.83333333333333337</v>
      </c>
      <c r="S13" s="28">
        <v>3</v>
      </c>
      <c r="T13" s="28">
        <v>5</v>
      </c>
      <c r="U13" s="28">
        <v>3</v>
      </c>
      <c r="V13" s="28">
        <v>3</v>
      </c>
      <c r="W13" s="77">
        <f t="shared" si="14"/>
        <v>31.25</v>
      </c>
      <c r="X13" s="77">
        <f t="shared" si="15"/>
        <v>18.75</v>
      </c>
      <c r="Y13" s="77" cm="1">
        <f t="array" ref="Y13">_xlfn.IFS(R13&gt;=0.8,5,R13&gt;=0.6,3,R13&gt;=0.2,1,R13&lt;0.2,0)</f>
        <v>5</v>
      </c>
      <c r="Z13" s="55">
        <f>SUM(S13:Y13)</f>
        <v>69</v>
      </c>
      <c r="AA13" s="130" t="s">
        <v>263</v>
      </c>
      <c r="AB13" s="304" t="s">
        <v>239</v>
      </c>
      <c r="AC13" s="80" t="s">
        <v>251</v>
      </c>
      <c r="AD13" s="5" t="s">
        <v>264</v>
      </c>
      <c r="AE13" s="71"/>
      <c r="AF13" s="129" t="s">
        <v>265</v>
      </c>
      <c r="AG13" s="310">
        <f>TaskEndDay!H7</f>
        <v>0.83333333333333337</v>
      </c>
      <c r="AH13" s="205">
        <f t="shared" si="47"/>
        <v>0.76787827991217816</v>
      </c>
      <c r="AI13" s="206">
        <f t="shared" si="48"/>
        <v>5.3528524708505278</v>
      </c>
      <c r="AJ13" s="80" t="str">
        <f t="shared" si="18"/>
        <v>HIGH</v>
      </c>
      <c r="AK13" s="80" t="str">
        <f t="shared" si="19"/>
        <v>HIGH</v>
      </c>
      <c r="AL13" s="352" t="s">
        <v>266</v>
      </c>
      <c r="AM13" s="29" t="s">
        <v>267</v>
      </c>
      <c r="AN13" s="128" t="str">
        <f>IF(AND(Z13&gt;Summary!$C$5, Z13&lt;=Summary!$D$5),Summary!$B$5,IF(AND(Z13&gt;Summary!$C$6, Z13&lt;=Summary!$D$6),Summary!$B$6,IF(AND(Z13&gt;Summary!$C$7, Z13&lt;=Summary!$D$7),Summary!$B$7,Summary!$B$8)))</f>
        <v>○</v>
      </c>
      <c r="AO13" s="14" t="s">
        <v>168</v>
      </c>
      <c r="AP13" s="14"/>
      <c r="AQ13" s="14"/>
      <c r="AR13" s="14"/>
      <c r="AS13" s="14" t="s">
        <v>168</v>
      </c>
      <c r="AT13" s="29" t="s">
        <v>231</v>
      </c>
      <c r="AU13" s="36" t="s">
        <v>268</v>
      </c>
      <c r="AV13" s="4" t="s">
        <v>168</v>
      </c>
      <c r="AW13" s="6">
        <v>22.9</v>
      </c>
      <c r="AX13" s="6">
        <v>29.5</v>
      </c>
      <c r="AY13" s="33">
        <f t="shared" si="20"/>
        <v>0.77627118644067794</v>
      </c>
      <c r="AZ13" s="42">
        <v>1.2050000000000001</v>
      </c>
      <c r="BA13" s="3">
        <v>9</v>
      </c>
      <c r="BB13" s="37">
        <f t="shared" si="21"/>
        <v>7.4688796680497918</v>
      </c>
      <c r="BC13" s="3">
        <v>9</v>
      </c>
      <c r="BD13" s="3">
        <v>9</v>
      </c>
      <c r="BE13" s="36" t="s">
        <v>269</v>
      </c>
      <c r="BF13" s="4" t="s">
        <v>168</v>
      </c>
      <c r="BG13" s="6">
        <v>10.6</v>
      </c>
      <c r="BH13" s="6">
        <v>16.5</v>
      </c>
      <c r="BI13" s="33">
        <f t="shared" si="22"/>
        <v>0.64242424242424245</v>
      </c>
      <c r="BJ13" s="42">
        <v>0.22</v>
      </c>
      <c r="BK13" s="3">
        <v>2</v>
      </c>
      <c r="BL13" s="37">
        <f t="shared" si="23"/>
        <v>9.0909090909090917</v>
      </c>
      <c r="BM13" s="3">
        <v>2</v>
      </c>
      <c r="BN13" s="3">
        <v>2</v>
      </c>
      <c r="BO13" s="36" t="s">
        <v>270</v>
      </c>
      <c r="BP13" s="4" t="s">
        <v>168</v>
      </c>
      <c r="BQ13" s="6">
        <v>22.7</v>
      </c>
      <c r="BR13" s="6">
        <v>26</v>
      </c>
      <c r="BS13" s="33">
        <f t="shared" si="24"/>
        <v>0.87307692307692308</v>
      </c>
      <c r="BT13" s="42">
        <v>3.03</v>
      </c>
      <c r="BU13" s="3">
        <v>4</v>
      </c>
      <c r="BV13" s="37">
        <f t="shared" si="25"/>
        <v>1.3201320132013201</v>
      </c>
      <c r="BW13" s="3">
        <v>4</v>
      </c>
      <c r="BX13" s="3">
        <v>4</v>
      </c>
      <c r="BY13" s="36" t="s">
        <v>271</v>
      </c>
      <c r="BZ13" s="4" t="s">
        <v>168</v>
      </c>
      <c r="CA13" s="6">
        <v>17</v>
      </c>
      <c r="CB13" s="6">
        <v>21</v>
      </c>
      <c r="CC13" s="33">
        <f t="shared" si="26"/>
        <v>0.80952380952380953</v>
      </c>
      <c r="CD13" s="42">
        <v>1.6990000000000001</v>
      </c>
      <c r="CE13" s="3">
        <v>6</v>
      </c>
      <c r="CF13" s="37">
        <f t="shared" si="27"/>
        <v>3.5314891112419069</v>
      </c>
      <c r="CG13" s="3">
        <v>6</v>
      </c>
      <c r="CH13" s="3">
        <v>6</v>
      </c>
      <c r="CI13" s="36" t="s">
        <v>272</v>
      </c>
      <c r="CJ13" s="4" t="s">
        <v>168</v>
      </c>
      <c r="CK13" s="6">
        <v>15.5</v>
      </c>
      <c r="CL13" s="6">
        <v>21</v>
      </c>
      <c r="CM13" s="33">
        <f t="shared" si="28"/>
        <v>0.73809523809523814</v>
      </c>
      <c r="CN13" s="42">
        <v>0.34799999999999998</v>
      </c>
      <c r="CO13" s="3"/>
      <c r="CP13" s="37" t="str">
        <f t="shared" si="29"/>
        <v/>
      </c>
      <c r="CQ13" s="3"/>
      <c r="CR13" s="3"/>
      <c r="CS13" s="36" t="s">
        <v>273</v>
      </c>
      <c r="CT13" s="4"/>
      <c r="CU13" s="6">
        <v>22.9</v>
      </c>
      <c r="CV13" s="6"/>
      <c r="CW13" s="33" t="str">
        <f t="shared" si="30"/>
        <v/>
      </c>
      <c r="CX13" s="42"/>
      <c r="CY13" s="3"/>
      <c r="CZ13" s="37" t="str">
        <f t="shared" si="31"/>
        <v/>
      </c>
      <c r="DA13" s="3"/>
      <c r="DB13" s="3"/>
      <c r="DC13" s="36"/>
      <c r="DD13" s="4"/>
      <c r="DE13" s="6"/>
      <c r="DF13" s="6"/>
      <c r="DG13" s="33" t="str">
        <f t="shared" si="32"/>
        <v/>
      </c>
      <c r="DH13" s="42"/>
      <c r="DI13" s="3"/>
      <c r="DJ13" s="37" t="str">
        <f t="shared" si="33"/>
        <v/>
      </c>
      <c r="DK13" s="3"/>
      <c r="DL13" s="3"/>
      <c r="DM13" s="36"/>
      <c r="DN13" s="4"/>
      <c r="DO13" s="6"/>
      <c r="DP13" s="6"/>
      <c r="DQ13" s="33" t="str">
        <f t="shared" si="34"/>
        <v/>
      </c>
      <c r="DR13" s="42"/>
      <c r="DS13" s="3"/>
      <c r="DT13" s="37" t="str">
        <f t="shared" si="35"/>
        <v/>
      </c>
      <c r="DU13" s="3"/>
      <c r="DV13" s="3"/>
      <c r="DW13" s="36"/>
      <c r="DX13" s="4"/>
      <c r="DY13" s="6"/>
      <c r="DZ13" s="6"/>
      <c r="EA13" s="33" t="str">
        <f t="shared" si="36"/>
        <v/>
      </c>
      <c r="EB13" s="42"/>
      <c r="EC13" s="3"/>
      <c r="ED13" s="37" t="str">
        <f t="shared" si="37"/>
        <v/>
      </c>
      <c r="EE13" s="3"/>
      <c r="EF13" s="3"/>
      <c r="EG13" s="36"/>
      <c r="EH13" s="4"/>
      <c r="EI13" s="6"/>
      <c r="EJ13" s="6"/>
      <c r="EK13" s="33" t="str">
        <f t="shared" si="38"/>
        <v/>
      </c>
      <c r="EL13" s="42"/>
      <c r="EM13" s="3"/>
      <c r="EN13" s="37" t="str">
        <f t="shared" si="39"/>
        <v/>
      </c>
      <c r="EO13" s="3"/>
      <c r="EP13" s="3"/>
      <c r="EQ13" s="36"/>
      <c r="ER13" s="4"/>
      <c r="ES13" s="6"/>
      <c r="ET13" s="6"/>
      <c r="EU13" s="33" t="str">
        <f t="shared" si="40"/>
        <v/>
      </c>
      <c r="EV13" s="42"/>
      <c r="EW13" s="3"/>
      <c r="EX13" s="37" t="str">
        <f t="shared" si="41"/>
        <v/>
      </c>
      <c r="EY13" s="3"/>
      <c r="EZ13" s="3"/>
      <c r="FA13" s="36"/>
      <c r="FB13" s="4"/>
      <c r="FC13" s="6"/>
      <c r="FD13" s="6"/>
      <c r="FE13" s="33" t="str">
        <f t="shared" si="42"/>
        <v/>
      </c>
      <c r="FF13" s="42"/>
      <c r="FG13" s="3"/>
      <c r="FH13" s="37" t="str">
        <f t="shared" si="43"/>
        <v/>
      </c>
      <c r="FI13" s="3"/>
      <c r="FJ13" s="3"/>
      <c r="FM13" s="54">
        <f t="shared" si="49"/>
        <v>6.5019999999999998</v>
      </c>
      <c r="FN13" s="54">
        <f t="shared" si="50"/>
        <v>21</v>
      </c>
      <c r="FO13" s="471">
        <f t="shared" si="44"/>
        <v>111.6</v>
      </c>
      <c r="FP13" s="471">
        <f t="shared" si="45"/>
        <v>114</v>
      </c>
    </row>
    <row r="14" spans="2:172" ht="176.1">
      <c r="B14" s="3" t="s">
        <v>274</v>
      </c>
      <c r="C14" s="3" t="s">
        <v>223</v>
      </c>
      <c r="D14" s="28" t="s">
        <v>224</v>
      </c>
      <c r="E14" s="4">
        <v>6</v>
      </c>
      <c r="F14" s="123" t="str">
        <f t="shared" si="1"/>
        <v>×
[P・Q]
×・○</v>
      </c>
      <c r="G14" s="123" t="str">
        <f t="shared" si="2"/>
        <v>×
[P・Q]
○・×</v>
      </c>
      <c r="H14" s="123" t="str">
        <f t="shared" si="3"/>
        <v>○
[P・Q]
○・○</v>
      </c>
      <c r="I14" s="123" t="str">
        <f t="shared" si="4"/>
        <v>○
[P・Q]
○・○</v>
      </c>
      <c r="J14" s="123" t="str">
        <f t="shared" si="5"/>
        <v>○
[P・Q]
○・○</v>
      </c>
      <c r="K14" s="123" t="str">
        <f t="shared" si="6"/>
        <v>○
[P・Q]
○・○</v>
      </c>
      <c r="L14" s="123" t="str">
        <f t="shared" si="7"/>
        <v/>
      </c>
      <c r="M14" s="123" t="str">
        <f t="shared" si="8"/>
        <v/>
      </c>
      <c r="N14" s="123" t="str">
        <f t="shared" si="9"/>
        <v/>
      </c>
      <c r="O14" s="123" t="str">
        <f t="shared" si="10"/>
        <v/>
      </c>
      <c r="P14" s="123" t="str">
        <f t="shared" si="11"/>
        <v/>
      </c>
      <c r="Q14" s="123" t="str">
        <f t="shared" si="12"/>
        <v/>
      </c>
      <c r="R14" s="76">
        <f t="shared" si="13"/>
        <v>1</v>
      </c>
      <c r="S14" s="4">
        <v>3</v>
      </c>
      <c r="T14" s="4">
        <v>5</v>
      </c>
      <c r="U14" s="4">
        <v>3</v>
      </c>
      <c r="V14" s="4">
        <v>5</v>
      </c>
      <c r="W14" s="77">
        <f t="shared" si="14"/>
        <v>37.5</v>
      </c>
      <c r="X14" s="77">
        <f t="shared" si="15"/>
        <v>31.25</v>
      </c>
      <c r="Y14" s="77" cm="1">
        <f t="array" ref="Y14">_xlfn.IFS(R14&gt;=0.8,5,R14&gt;=0.6,3,R14&gt;=0.2,1,R14&lt;0.2,0)</f>
        <v>5</v>
      </c>
      <c r="Z14" s="55">
        <f t="shared" si="46"/>
        <v>89.75</v>
      </c>
      <c r="AA14" s="220" t="s">
        <v>275</v>
      </c>
      <c r="AB14" s="5" t="s">
        <v>276</v>
      </c>
      <c r="AC14" s="100" t="s">
        <v>251</v>
      </c>
      <c r="AD14" s="130" t="s">
        <v>277</v>
      </c>
      <c r="AE14" s="5"/>
      <c r="AF14" s="5" t="s">
        <v>278</v>
      </c>
      <c r="AG14" s="310">
        <f>TaskEndDay!H8</f>
        <v>1</v>
      </c>
      <c r="AH14" s="205">
        <f t="shared" si="16"/>
        <v>0.89181330651918878</v>
      </c>
      <c r="AI14" s="206">
        <f t="shared" si="17"/>
        <v>4.8616331598014124</v>
      </c>
      <c r="AJ14" s="80" t="str">
        <f t="shared" si="18"/>
        <v>HIGH</v>
      </c>
      <c r="AK14" s="80" t="str">
        <f t="shared" si="19"/>
        <v>HIGH</v>
      </c>
      <c r="AL14" s="239" t="s">
        <v>279</v>
      </c>
      <c r="AM14" s="130" t="s">
        <v>230</v>
      </c>
      <c r="AN14" s="126" t="str">
        <f>IF(AND(Z14&gt;Summary!$C$5, Z14&lt;=Summary!$D$5),Summary!$B$5,IF(AND(Z14&gt;Summary!$C$6, Z14&lt;=Summary!$D$6),Summary!$B$6,IF(AND(Z14&gt;Summary!$C$7, Z14&lt;=Summary!$D$7),Summary!$B$7,Summary!$B$8)))</f>
        <v>◎</v>
      </c>
      <c r="AO14" s="14" t="s">
        <v>168</v>
      </c>
      <c r="AP14" s="14"/>
      <c r="AQ14" s="14"/>
      <c r="AR14" s="14" t="s">
        <v>168</v>
      </c>
      <c r="AS14" s="14"/>
      <c r="AT14" s="29" t="s">
        <v>245</v>
      </c>
      <c r="AU14" s="36" t="s">
        <v>280</v>
      </c>
      <c r="AV14" s="4" t="s">
        <v>168</v>
      </c>
      <c r="AW14" s="6">
        <v>22.8</v>
      </c>
      <c r="AX14" s="6">
        <v>38</v>
      </c>
      <c r="AY14" s="33">
        <f t="shared" si="20"/>
        <v>0.6</v>
      </c>
      <c r="AZ14" s="42">
        <v>0.97299999999999998</v>
      </c>
      <c r="BA14" s="3">
        <v>6</v>
      </c>
      <c r="BB14" s="37">
        <f t="shared" si="21"/>
        <v>6.166495375128469</v>
      </c>
      <c r="BC14" s="3">
        <v>6</v>
      </c>
      <c r="BD14" s="3">
        <v>6</v>
      </c>
      <c r="BE14" s="36" t="s">
        <v>281</v>
      </c>
      <c r="BF14" s="4" t="s">
        <v>168</v>
      </c>
      <c r="BG14" s="6">
        <v>15.7</v>
      </c>
      <c r="BH14" s="6">
        <v>19.5</v>
      </c>
      <c r="BI14" s="33">
        <f t="shared" si="22"/>
        <v>0.80512820512820504</v>
      </c>
      <c r="BJ14" s="42">
        <v>0.45700000000000002</v>
      </c>
      <c r="BK14" s="3">
        <v>6</v>
      </c>
      <c r="BL14" s="37">
        <f t="shared" si="23"/>
        <v>13.129102844638949</v>
      </c>
      <c r="BM14" s="3">
        <v>6</v>
      </c>
      <c r="BN14" s="3">
        <v>6</v>
      </c>
      <c r="BO14" s="36" t="s">
        <v>282</v>
      </c>
      <c r="BP14" s="4" t="s">
        <v>168</v>
      </c>
      <c r="BQ14" s="6">
        <v>22.8</v>
      </c>
      <c r="BR14" s="6">
        <v>22.5</v>
      </c>
      <c r="BS14" s="33">
        <f t="shared" si="24"/>
        <v>1.0133333333333334</v>
      </c>
      <c r="BT14" s="42">
        <v>1.07</v>
      </c>
      <c r="BU14" s="3">
        <v>3</v>
      </c>
      <c r="BV14" s="37">
        <f t="shared" si="25"/>
        <v>2.8037383177570092</v>
      </c>
      <c r="BW14" s="3">
        <v>3</v>
      </c>
      <c r="BX14" s="3">
        <v>3</v>
      </c>
      <c r="BY14" s="36" t="s">
        <v>283</v>
      </c>
      <c r="BZ14" s="4" t="s">
        <v>168</v>
      </c>
      <c r="CA14" s="6">
        <v>15.7</v>
      </c>
      <c r="CB14" s="6">
        <v>17</v>
      </c>
      <c r="CC14" s="33">
        <f t="shared" si="26"/>
        <v>0.92352941176470582</v>
      </c>
      <c r="CD14" s="42">
        <v>0.56399999999999995</v>
      </c>
      <c r="CE14" s="3">
        <v>3</v>
      </c>
      <c r="CF14" s="37">
        <f t="shared" si="27"/>
        <v>5.3191489361702136</v>
      </c>
      <c r="CG14" s="3">
        <v>3</v>
      </c>
      <c r="CH14" s="3">
        <v>3</v>
      </c>
      <c r="CI14" s="36" t="s">
        <v>284</v>
      </c>
      <c r="CJ14" s="4" t="s">
        <v>168</v>
      </c>
      <c r="CK14" s="6">
        <v>22.7</v>
      </c>
      <c r="CL14" s="6">
        <v>22.5</v>
      </c>
      <c r="CM14" s="33">
        <f t="shared" si="28"/>
        <v>1.0088888888888889</v>
      </c>
      <c r="CN14" s="42">
        <v>0.38200000000000001</v>
      </c>
      <c r="CO14" s="3">
        <v>0</v>
      </c>
      <c r="CP14" s="37">
        <f t="shared" si="29"/>
        <v>0</v>
      </c>
      <c r="CQ14" s="3">
        <v>0</v>
      </c>
      <c r="CR14" s="3">
        <v>0</v>
      </c>
      <c r="CS14" s="36" t="s">
        <v>285</v>
      </c>
      <c r="CT14" s="4" t="s">
        <v>168</v>
      </c>
      <c r="CU14" s="6">
        <v>15.5</v>
      </c>
      <c r="CV14" s="6">
        <v>15.5</v>
      </c>
      <c r="CW14" s="33">
        <f t="shared" si="30"/>
        <v>1</v>
      </c>
      <c r="CX14" s="42">
        <v>0.57099999999999995</v>
      </c>
      <c r="CY14" s="3">
        <v>1</v>
      </c>
      <c r="CZ14" s="37">
        <f t="shared" si="31"/>
        <v>1.7513134851138354</v>
      </c>
      <c r="DA14" s="3">
        <v>1</v>
      </c>
      <c r="DB14" s="3">
        <v>1</v>
      </c>
      <c r="DC14" s="4"/>
      <c r="DD14" s="4"/>
      <c r="DE14" s="6"/>
      <c r="DF14" s="6"/>
      <c r="DG14" s="33" t="str">
        <f t="shared" si="32"/>
        <v/>
      </c>
      <c r="DH14" s="42"/>
      <c r="DI14" s="3"/>
      <c r="DJ14" s="37" t="str">
        <f t="shared" si="33"/>
        <v/>
      </c>
      <c r="DK14" s="3"/>
      <c r="DL14" s="3"/>
      <c r="DM14" s="4"/>
      <c r="DN14" s="4"/>
      <c r="DO14" s="6"/>
      <c r="DP14" s="6"/>
      <c r="DQ14" s="33" t="str">
        <f t="shared" si="34"/>
        <v/>
      </c>
      <c r="DR14" s="42"/>
      <c r="DS14" s="3"/>
      <c r="DT14" s="37" t="str">
        <f t="shared" si="35"/>
        <v/>
      </c>
      <c r="DU14" s="3"/>
      <c r="DV14" s="3"/>
      <c r="DW14" s="4"/>
      <c r="DX14" s="4"/>
      <c r="DY14" s="6"/>
      <c r="DZ14" s="6"/>
      <c r="EA14" s="33" t="str">
        <f t="shared" si="36"/>
        <v/>
      </c>
      <c r="EB14" s="42"/>
      <c r="EC14" s="3"/>
      <c r="ED14" s="37" t="str">
        <f t="shared" si="37"/>
        <v/>
      </c>
      <c r="EE14" s="3"/>
      <c r="EF14" s="3"/>
      <c r="EG14" s="4"/>
      <c r="EH14" s="4"/>
      <c r="EI14" s="6"/>
      <c r="EJ14" s="6"/>
      <c r="EK14" s="33" t="str">
        <f t="shared" si="38"/>
        <v/>
      </c>
      <c r="EL14" s="42"/>
      <c r="EM14" s="3"/>
      <c r="EN14" s="37" t="str">
        <f t="shared" si="39"/>
        <v/>
      </c>
      <c r="EO14" s="3"/>
      <c r="EP14" s="3"/>
      <c r="EQ14" s="4"/>
      <c r="ER14" s="4"/>
      <c r="ES14" s="6"/>
      <c r="ET14" s="6"/>
      <c r="EU14" s="33" t="str">
        <f t="shared" si="40"/>
        <v/>
      </c>
      <c r="EV14" s="42"/>
      <c r="EW14" s="3"/>
      <c r="EX14" s="37" t="str">
        <f t="shared" si="41"/>
        <v/>
      </c>
      <c r="EY14" s="3"/>
      <c r="EZ14" s="3"/>
      <c r="FA14" s="4"/>
      <c r="FB14" s="4"/>
      <c r="FC14" s="6"/>
      <c r="FD14" s="6"/>
      <c r="FE14" s="33" t="str">
        <f t="shared" si="42"/>
        <v/>
      </c>
      <c r="FF14" s="42"/>
      <c r="FG14" s="3"/>
      <c r="FH14" s="37" t="str">
        <f t="shared" si="43"/>
        <v/>
      </c>
      <c r="FI14" s="3"/>
      <c r="FJ14" s="3"/>
      <c r="FM14" s="54">
        <f t="shared" si="49"/>
        <v>4.0169999999999995</v>
      </c>
      <c r="FN14" s="54">
        <f t="shared" si="50"/>
        <v>19</v>
      </c>
      <c r="FO14" s="471">
        <f t="shared" si="44"/>
        <v>115.2</v>
      </c>
      <c r="FP14" s="471">
        <f t="shared" si="45"/>
        <v>135</v>
      </c>
    </row>
    <row r="15" spans="2:172" ht="198">
      <c r="B15" s="3" t="s">
        <v>286</v>
      </c>
      <c r="C15" s="3" t="s">
        <v>287</v>
      </c>
      <c r="D15" s="28" t="s">
        <v>224</v>
      </c>
      <c r="E15" s="4">
        <v>5</v>
      </c>
      <c r="F15" s="123" t="str">
        <f t="shared" si="1"/>
        <v>○
[P・Q]
○・○</v>
      </c>
      <c r="G15" s="123" t="str">
        <f t="shared" si="2"/>
        <v>×
[P・Q]
○・×</v>
      </c>
      <c r="H15" s="123" t="str">
        <f t="shared" si="3"/>
        <v>×
[P・Q]
×・○</v>
      </c>
      <c r="I15" s="123" t="str">
        <f t="shared" si="4"/>
        <v>×
[P・Q]
--・--</v>
      </c>
      <c r="J15" s="123" t="str">
        <f t="shared" si="5"/>
        <v>○
[P・Q]
○・○</v>
      </c>
      <c r="K15" s="123" t="str">
        <f t="shared" si="6"/>
        <v/>
      </c>
      <c r="L15" s="123" t="str">
        <f t="shared" si="7"/>
        <v/>
      </c>
      <c r="M15" s="123" t="str">
        <f t="shared" si="8"/>
        <v/>
      </c>
      <c r="N15" s="123" t="str">
        <f t="shared" si="9"/>
        <v/>
      </c>
      <c r="O15" s="123" t="str">
        <f t="shared" si="10"/>
        <v/>
      </c>
      <c r="P15" s="123" t="str">
        <f t="shared" si="11"/>
        <v/>
      </c>
      <c r="Q15" s="123" t="str">
        <f t="shared" si="12"/>
        <v/>
      </c>
      <c r="R15" s="76">
        <f t="shared" si="13"/>
        <v>0.8</v>
      </c>
      <c r="S15" s="4">
        <v>3</v>
      </c>
      <c r="T15" s="4">
        <v>3</v>
      </c>
      <c r="U15" s="4">
        <v>5</v>
      </c>
      <c r="V15" s="4">
        <v>5</v>
      </c>
      <c r="W15" s="77">
        <f t="shared" si="14"/>
        <v>22.5</v>
      </c>
      <c r="X15" s="77">
        <f t="shared" si="15"/>
        <v>22.5</v>
      </c>
      <c r="Y15" s="77" cm="1">
        <f t="array" ref="Y15">_xlfn.IFS(R15&gt;=0.8,5,R15&gt;=0.6,3,R15&gt;=0.2,1,R15&lt;0.2,0)</f>
        <v>5</v>
      </c>
      <c r="Z15" s="55">
        <f t="shared" si="46"/>
        <v>66</v>
      </c>
      <c r="AA15" s="220" t="s">
        <v>288</v>
      </c>
      <c r="AB15" s="5" t="s">
        <v>289</v>
      </c>
      <c r="AC15" s="80" t="s">
        <v>226</v>
      </c>
      <c r="AD15" t="s">
        <v>290</v>
      </c>
      <c r="AE15" s="3"/>
      <c r="AF15" s="5" t="s">
        <v>291</v>
      </c>
      <c r="AG15" s="310">
        <f>TaskEndDay!H9</f>
        <v>0.8</v>
      </c>
      <c r="AH15" s="205">
        <f t="shared" si="16"/>
        <v>0.75631747029817653</v>
      </c>
      <c r="AI15" s="206">
        <f t="shared" si="17"/>
        <v>7.5119305279879516</v>
      </c>
      <c r="AJ15" s="80" t="str">
        <f t="shared" si="18"/>
        <v>HIGH</v>
      </c>
      <c r="AK15" s="80" t="str">
        <f t="shared" si="19"/>
        <v>HIGH</v>
      </c>
      <c r="AL15" s="240" t="s">
        <v>292</v>
      </c>
      <c r="AM15" s="217" t="s">
        <v>293</v>
      </c>
      <c r="AN15" s="126" t="str">
        <f>IF(AND(Z15&gt;Summary!$C$5, Z15&lt;=Summary!$D$5),Summary!$B$5,IF(AND(Z15&gt;Summary!$C$6, Z15&lt;=Summary!$D$6),Summary!$B$6,IF(AND(Z15&gt;Summary!$C$7, Z15&lt;=Summary!$D$7),Summary!$B$7,Summary!$B$8)))</f>
        <v>○</v>
      </c>
      <c r="AO15" s="14" t="s">
        <v>168</v>
      </c>
      <c r="AP15" s="14"/>
      <c r="AQ15" s="14"/>
      <c r="AR15" s="14" t="s">
        <v>168</v>
      </c>
      <c r="AS15" s="14"/>
      <c r="AT15" s="29" t="s">
        <v>245</v>
      </c>
      <c r="AU15" s="36" t="s">
        <v>294</v>
      </c>
      <c r="AV15" s="4" t="s">
        <v>168</v>
      </c>
      <c r="AW15" s="6">
        <v>22.6</v>
      </c>
      <c r="AX15" s="6">
        <v>33.5</v>
      </c>
      <c r="AY15" s="33">
        <f t="shared" si="20"/>
        <v>0.67462686567164187</v>
      </c>
      <c r="AZ15" s="42">
        <v>0.61</v>
      </c>
      <c r="BA15" s="3">
        <v>3</v>
      </c>
      <c r="BB15" s="37">
        <f t="shared" si="21"/>
        <v>4.918032786885246</v>
      </c>
      <c r="BC15" s="3">
        <v>3</v>
      </c>
      <c r="BD15" s="3">
        <v>3</v>
      </c>
      <c r="BE15" s="36" t="s">
        <v>295</v>
      </c>
      <c r="BF15" s="4" t="s">
        <v>168</v>
      </c>
      <c r="BG15" s="6">
        <v>10.5</v>
      </c>
      <c r="BH15" s="6">
        <v>11</v>
      </c>
      <c r="BI15" s="33">
        <f t="shared" si="22"/>
        <v>0.95454545454545459</v>
      </c>
      <c r="BJ15" s="42">
        <v>0.28599999999999998</v>
      </c>
      <c r="BK15" s="3">
        <v>7</v>
      </c>
      <c r="BL15" s="37">
        <f t="shared" si="23"/>
        <v>24.475524475524477</v>
      </c>
      <c r="BM15" s="3">
        <v>7</v>
      </c>
      <c r="BN15" s="3">
        <v>7</v>
      </c>
      <c r="BO15" s="36" t="s">
        <v>296</v>
      </c>
      <c r="BP15" s="4" t="s">
        <v>168</v>
      </c>
      <c r="BQ15" s="6">
        <v>22.8</v>
      </c>
      <c r="BR15" s="6">
        <v>41</v>
      </c>
      <c r="BS15" s="33">
        <f t="shared" si="24"/>
        <v>0.55609756097560981</v>
      </c>
      <c r="BT15" s="42">
        <v>4.5860000000000003</v>
      </c>
      <c r="BU15" s="3">
        <v>3</v>
      </c>
      <c r="BV15" s="37">
        <f t="shared" si="25"/>
        <v>0.65416484954208454</v>
      </c>
      <c r="BW15" s="3">
        <v>3</v>
      </c>
      <c r="BX15" s="3">
        <v>3</v>
      </c>
      <c r="BY15" s="36" t="s">
        <v>297</v>
      </c>
      <c r="BZ15" s="4"/>
      <c r="CA15" s="6">
        <v>25.3</v>
      </c>
      <c r="CB15" s="6"/>
      <c r="CC15" s="33" t="str">
        <f t="shared" si="26"/>
        <v/>
      </c>
      <c r="CD15" s="42"/>
      <c r="CE15" s="3"/>
      <c r="CF15" s="37" t="str">
        <f t="shared" si="27"/>
        <v/>
      </c>
      <c r="CG15" s="3"/>
      <c r="CH15" s="3"/>
      <c r="CI15" s="36" t="s">
        <v>298</v>
      </c>
      <c r="CJ15" s="4" t="s">
        <v>168</v>
      </c>
      <c r="CK15" s="6">
        <v>10.5</v>
      </c>
      <c r="CL15" s="6">
        <v>12.5</v>
      </c>
      <c r="CM15" s="33">
        <f t="shared" si="28"/>
        <v>0.84</v>
      </c>
      <c r="CN15" s="42">
        <v>0.158</v>
      </c>
      <c r="CO15" s="3">
        <v>0</v>
      </c>
      <c r="CP15" s="37">
        <f t="shared" si="29"/>
        <v>0</v>
      </c>
      <c r="CQ15" s="3">
        <v>0</v>
      </c>
      <c r="CR15" s="3">
        <v>0</v>
      </c>
      <c r="CS15" s="36"/>
      <c r="CT15" s="4"/>
      <c r="CU15" s="6"/>
      <c r="CV15" s="6"/>
      <c r="CW15" s="33" t="str">
        <f t="shared" si="30"/>
        <v/>
      </c>
      <c r="CX15" s="42"/>
      <c r="CY15" s="3"/>
      <c r="CZ15" s="37" t="str">
        <f t="shared" si="31"/>
        <v/>
      </c>
      <c r="DA15" s="3"/>
      <c r="DB15" s="3"/>
      <c r="DC15" s="4"/>
      <c r="DD15" s="4"/>
      <c r="DE15" s="6"/>
      <c r="DF15" s="6"/>
      <c r="DG15" s="33" t="str">
        <f t="shared" si="32"/>
        <v/>
      </c>
      <c r="DH15" s="42"/>
      <c r="DI15" s="3"/>
      <c r="DJ15" s="37" t="str">
        <f t="shared" si="33"/>
        <v/>
      </c>
      <c r="DK15" s="3"/>
      <c r="DL15" s="3"/>
      <c r="DM15" s="4"/>
      <c r="DN15" s="4"/>
      <c r="DO15" s="6"/>
      <c r="DP15" s="6"/>
      <c r="DQ15" s="33" t="str">
        <f t="shared" si="34"/>
        <v/>
      </c>
      <c r="DR15" s="42"/>
      <c r="DS15" s="3"/>
      <c r="DT15" s="37" t="str">
        <f t="shared" si="35"/>
        <v/>
      </c>
      <c r="DU15" s="3"/>
      <c r="DV15" s="3"/>
      <c r="DW15" s="4"/>
      <c r="DX15" s="4"/>
      <c r="DY15" s="6"/>
      <c r="DZ15" s="6"/>
      <c r="EA15" s="33" t="str">
        <f t="shared" si="36"/>
        <v/>
      </c>
      <c r="EB15" s="42"/>
      <c r="EC15" s="3"/>
      <c r="ED15" s="37" t="str">
        <f t="shared" si="37"/>
        <v/>
      </c>
      <c r="EE15" s="3"/>
      <c r="EF15" s="3"/>
      <c r="EG15" s="4"/>
      <c r="EH15" s="4"/>
      <c r="EI15" s="6"/>
      <c r="EJ15" s="6"/>
      <c r="EK15" s="33" t="str">
        <f t="shared" si="38"/>
        <v/>
      </c>
      <c r="EL15" s="42"/>
      <c r="EM15" s="3"/>
      <c r="EN15" s="37" t="str">
        <f t="shared" si="39"/>
        <v/>
      </c>
      <c r="EO15" s="3"/>
      <c r="EP15" s="3"/>
      <c r="EQ15" s="4"/>
      <c r="ER15" s="4"/>
      <c r="ES15" s="6"/>
      <c r="ET15" s="6"/>
      <c r="EU15" s="33" t="str">
        <f t="shared" si="40"/>
        <v/>
      </c>
      <c r="EV15" s="42"/>
      <c r="EW15" s="3"/>
      <c r="EX15" s="37" t="str">
        <f t="shared" si="41"/>
        <v/>
      </c>
      <c r="EY15" s="3"/>
      <c r="EZ15" s="3"/>
      <c r="FA15" s="4"/>
      <c r="FB15" s="4"/>
      <c r="FC15" s="6"/>
      <c r="FD15" s="6"/>
      <c r="FE15" s="33" t="str">
        <f t="shared" si="42"/>
        <v/>
      </c>
      <c r="FF15" s="42"/>
      <c r="FG15" s="3"/>
      <c r="FH15" s="37" t="str">
        <f t="shared" si="43"/>
        <v/>
      </c>
      <c r="FI15" s="3"/>
      <c r="FJ15" s="3"/>
      <c r="FM15" s="54">
        <f t="shared" si="49"/>
        <v>5.6400000000000006</v>
      </c>
      <c r="FN15" s="54">
        <f t="shared" si="50"/>
        <v>13</v>
      </c>
      <c r="FO15" s="471">
        <f t="shared" si="44"/>
        <v>91.699999999999989</v>
      </c>
      <c r="FP15" s="471">
        <f t="shared" si="45"/>
        <v>98</v>
      </c>
    </row>
    <row r="16" spans="2:172" ht="165">
      <c r="B16" s="3" t="s">
        <v>299</v>
      </c>
      <c r="C16" s="3" t="s">
        <v>300</v>
      </c>
      <c r="D16" s="28" t="s">
        <v>224</v>
      </c>
      <c r="E16" s="4">
        <v>7</v>
      </c>
      <c r="F16" s="123" t="str">
        <f t="shared" si="1"/>
        <v>×
[P・Q]
×・○</v>
      </c>
      <c r="G16" s="123" t="str">
        <f t="shared" si="2"/>
        <v>×
[P・Q]
--・--</v>
      </c>
      <c r="H16" s="123" t="str">
        <f t="shared" si="3"/>
        <v>×
[P・Q]
--・--</v>
      </c>
      <c r="I16" s="123" t="str">
        <f t="shared" si="4"/>
        <v>×
[P・Q]
--・--</v>
      </c>
      <c r="J16" s="123" t="str">
        <f t="shared" si="5"/>
        <v>×
[P・Q]
--・--</v>
      </c>
      <c r="K16" s="123" t="str">
        <f t="shared" si="6"/>
        <v>×
[P・Q]
--・--</v>
      </c>
      <c r="L16" s="123" t="str">
        <f t="shared" si="7"/>
        <v>×
[P・Q]
--・--</v>
      </c>
      <c r="M16" s="123" t="str">
        <f t="shared" si="8"/>
        <v/>
      </c>
      <c r="N16" s="123" t="str">
        <f t="shared" si="9"/>
        <v/>
      </c>
      <c r="O16" s="123" t="str">
        <f t="shared" si="10"/>
        <v/>
      </c>
      <c r="P16" s="123" t="str">
        <f t="shared" si="11"/>
        <v/>
      </c>
      <c r="Q16" s="123" t="str">
        <f t="shared" si="12"/>
        <v/>
      </c>
      <c r="R16" s="76">
        <f t="shared" si="13"/>
        <v>0.14285714285714285</v>
      </c>
      <c r="S16" s="4">
        <v>3</v>
      </c>
      <c r="T16" s="4">
        <v>5</v>
      </c>
      <c r="U16" s="4">
        <v>5</v>
      </c>
      <c r="V16" s="4">
        <v>5</v>
      </c>
      <c r="W16" s="77">
        <f t="shared" si="14"/>
        <v>0</v>
      </c>
      <c r="X16" s="77">
        <f t="shared" si="15"/>
        <v>5.3571428571428568</v>
      </c>
      <c r="Y16" s="77" cm="1">
        <f t="array" ref="Y16">_xlfn.IFS(R16&gt;=0.8,5,R16&gt;=0.6,3,R16&gt;=0.2,1,R16&lt;0.2,0)</f>
        <v>0</v>
      </c>
      <c r="Z16" s="55">
        <f>SUM(S16:Y16)</f>
        <v>23.357142857142858</v>
      </c>
      <c r="AA16" s="130" t="s">
        <v>301</v>
      </c>
      <c r="AB16" s="130" t="s">
        <v>302</v>
      </c>
      <c r="AC16" s="130"/>
      <c r="AD16" s="130"/>
      <c r="AE16" s="130"/>
      <c r="AF16" s="130"/>
      <c r="AG16" s="310">
        <f>TaskEndDay!H10</f>
        <v>1</v>
      </c>
      <c r="AH16" s="205">
        <f t="shared" ref="AH16:AH21" si="51">IFERROR(AVERAGE(AY16,BI16,BS16,CC16,CM16,CW16,DG16,DQ16,EA16,EK16)," ")</f>
        <v>0.54939759036144575</v>
      </c>
      <c r="AI16" s="206">
        <f t="shared" ref="AI16:AI21" si="52">IFERROR(AVERAGE(BB16,BL16,BV16,CF16,CP16,CZ16,DJ16,DT16,ED16,EN16)," ")</f>
        <v>0.7142857142857143</v>
      </c>
      <c r="AJ16" s="80" t="str">
        <f t="shared" si="18"/>
        <v>LOW</v>
      </c>
      <c r="AK16" s="80" t="str">
        <f t="shared" si="19"/>
        <v>HIGH</v>
      </c>
      <c r="AL16" s="5"/>
      <c r="AM16" s="129"/>
      <c r="AN16" s="126" t="str">
        <f>IF(AND(Z16&gt;Summary!$C$5, Z16&lt;=Summary!$D$5),Summary!$B$5,IF(AND(Z16&gt;Summary!$C$6, Z16&lt;=Summary!$D$6),Summary!$B$6,IF(AND(Z16&gt;Summary!$C$7, Z16&lt;=Summary!$D$7),Summary!$B$7,Summary!$B$8)))</f>
        <v>×</v>
      </c>
      <c r="AO16" s="126" t="str">
        <f>IF(AND(AA16&gt;Summary!$C$5, AA16&lt;=Summary!$D$5),Summary!$B$5,IF(AND(AA16&gt;Summary!$C$6, AA16&lt;=Summary!$D$6),Summary!$B$6,IF(AND(AA16&gt;Summary!$C$7, AA16&lt;=Summary!$D$7),Summary!$B$7,Summary!$B$8)))</f>
        <v>×</v>
      </c>
      <c r="AP16" s="126" t="s">
        <v>303</v>
      </c>
      <c r="AQ16" s="126"/>
      <c r="AR16" s="126"/>
      <c r="AS16" s="126"/>
      <c r="AT16" s="29" t="s">
        <v>304</v>
      </c>
      <c r="AU16" s="36" t="s">
        <v>305</v>
      </c>
      <c r="AV16" s="4" t="s">
        <v>168</v>
      </c>
      <c r="AW16" s="6">
        <v>22.8</v>
      </c>
      <c r="AX16" s="6">
        <v>41.5</v>
      </c>
      <c r="AY16" s="33">
        <f t="shared" si="20"/>
        <v>0.54939759036144575</v>
      </c>
      <c r="AZ16" s="42">
        <v>1.4</v>
      </c>
      <c r="BA16" s="3">
        <v>1</v>
      </c>
      <c r="BB16" s="37">
        <f t="shared" si="21"/>
        <v>0.7142857142857143</v>
      </c>
      <c r="BC16" s="3">
        <v>1</v>
      </c>
      <c r="BD16" s="3">
        <v>1</v>
      </c>
      <c r="BE16" s="36" t="s">
        <v>306</v>
      </c>
      <c r="BF16" s="4"/>
      <c r="BG16" s="6">
        <v>15.7</v>
      </c>
      <c r="BH16" s="6"/>
      <c r="BI16" s="33" t="str">
        <f t="shared" si="22"/>
        <v/>
      </c>
      <c r="BJ16" s="42"/>
      <c r="BK16" s="3"/>
      <c r="BL16" s="37" t="str">
        <f t="shared" si="23"/>
        <v/>
      </c>
      <c r="BM16" s="3"/>
      <c r="BN16" s="3"/>
      <c r="BO16" s="36" t="s">
        <v>307</v>
      </c>
      <c r="BP16" s="4"/>
      <c r="BQ16" s="6">
        <v>15.6</v>
      </c>
      <c r="BR16" s="6"/>
      <c r="BS16" s="33" t="str">
        <f t="shared" si="24"/>
        <v/>
      </c>
      <c r="BT16" s="42"/>
      <c r="BU16" s="3"/>
      <c r="BV16" s="37" t="str">
        <f t="shared" si="25"/>
        <v/>
      </c>
      <c r="BW16" s="3"/>
      <c r="BX16" s="3"/>
      <c r="BY16" s="36" t="s">
        <v>308</v>
      </c>
      <c r="BZ16" s="4" t="s">
        <v>178</v>
      </c>
      <c r="CA16" s="6">
        <v>16.100000000000001</v>
      </c>
      <c r="CB16" s="6"/>
      <c r="CC16" s="33" t="str">
        <f t="shared" si="26"/>
        <v/>
      </c>
      <c r="CD16" s="42"/>
      <c r="CE16" s="3"/>
      <c r="CF16" s="37" t="str">
        <f t="shared" si="27"/>
        <v/>
      </c>
      <c r="CG16" s="3"/>
      <c r="CH16" s="3"/>
      <c r="CI16" s="36" t="s">
        <v>309</v>
      </c>
      <c r="CJ16" s="4" t="s">
        <v>178</v>
      </c>
      <c r="CK16" s="6">
        <v>22.7</v>
      </c>
      <c r="CL16" s="6"/>
      <c r="CM16" s="33" t="str">
        <f t="shared" si="28"/>
        <v/>
      </c>
      <c r="CN16" s="42"/>
      <c r="CO16" s="3"/>
      <c r="CP16" s="37" t="str">
        <f t="shared" si="29"/>
        <v/>
      </c>
      <c r="CQ16" s="3"/>
      <c r="CR16" s="3"/>
      <c r="CS16" s="36" t="s">
        <v>310</v>
      </c>
      <c r="CT16" s="4" t="s">
        <v>178</v>
      </c>
      <c r="CU16" s="6">
        <v>10.5</v>
      </c>
      <c r="CV16" s="6"/>
      <c r="CW16" s="33" t="str">
        <f t="shared" si="30"/>
        <v/>
      </c>
      <c r="CX16" s="42"/>
      <c r="CY16" s="3"/>
      <c r="CZ16" s="37" t="str">
        <f t="shared" si="31"/>
        <v/>
      </c>
      <c r="DA16" s="3"/>
      <c r="DB16" s="3"/>
      <c r="DC16" s="80" t="s">
        <v>311</v>
      </c>
      <c r="DD16" s="4" t="s">
        <v>178</v>
      </c>
      <c r="DE16" s="6">
        <v>22.8</v>
      </c>
      <c r="DF16" s="6"/>
      <c r="DG16" s="33" t="str">
        <f t="shared" si="32"/>
        <v/>
      </c>
      <c r="DH16" s="42"/>
      <c r="DI16" s="3"/>
      <c r="DJ16" s="37" t="str">
        <f t="shared" si="33"/>
        <v/>
      </c>
      <c r="DK16" s="3"/>
      <c r="DL16" s="3"/>
      <c r="DM16" s="4"/>
      <c r="DN16" s="4"/>
      <c r="DO16" s="6"/>
      <c r="DP16" s="6"/>
      <c r="DQ16" s="33" t="str">
        <f t="shared" si="34"/>
        <v/>
      </c>
      <c r="DR16" s="42"/>
      <c r="DS16" s="3"/>
      <c r="DT16" s="37" t="str">
        <f t="shared" si="35"/>
        <v/>
      </c>
      <c r="DU16" s="3"/>
      <c r="DV16" s="3"/>
      <c r="DW16" s="4"/>
      <c r="DX16" s="4"/>
      <c r="DY16" s="6"/>
      <c r="DZ16" s="6"/>
      <c r="EA16" s="33" t="str">
        <f t="shared" si="36"/>
        <v/>
      </c>
      <c r="EB16" s="42"/>
      <c r="EC16" s="3"/>
      <c r="ED16" s="37" t="str">
        <f t="shared" si="37"/>
        <v/>
      </c>
      <c r="EE16" s="3"/>
      <c r="EF16" s="3"/>
      <c r="EG16" s="4"/>
      <c r="EH16" s="4"/>
      <c r="EI16" s="6"/>
      <c r="EJ16" s="6"/>
      <c r="EK16" s="33" t="str">
        <f t="shared" si="38"/>
        <v/>
      </c>
      <c r="EL16" s="42"/>
      <c r="EM16" s="3"/>
      <c r="EN16" s="37" t="str">
        <f t="shared" si="39"/>
        <v/>
      </c>
      <c r="EO16" s="3"/>
      <c r="EP16" s="3"/>
      <c r="EQ16" s="4"/>
      <c r="ER16" s="4"/>
      <c r="ES16" s="6"/>
      <c r="ET16" s="6"/>
      <c r="EU16" s="33" t="str">
        <f t="shared" si="40"/>
        <v/>
      </c>
      <c r="EV16" s="42"/>
      <c r="EW16" s="3"/>
      <c r="EX16" s="37" t="str">
        <f t="shared" si="41"/>
        <v/>
      </c>
      <c r="EY16" s="3"/>
      <c r="EZ16" s="3"/>
      <c r="FA16" s="4"/>
      <c r="FB16" s="4"/>
      <c r="FC16" s="6"/>
      <c r="FD16" s="6"/>
      <c r="FE16" s="33" t="str">
        <f t="shared" si="42"/>
        <v/>
      </c>
      <c r="FF16" s="42"/>
      <c r="FG16" s="3"/>
      <c r="FH16" s="37" t="str">
        <f t="shared" si="43"/>
        <v/>
      </c>
      <c r="FI16" s="3"/>
      <c r="FJ16" s="3"/>
      <c r="FM16" s="54">
        <f t="shared" si="49"/>
        <v>1.4</v>
      </c>
      <c r="FN16" s="54">
        <f t="shared" si="50"/>
        <v>1</v>
      </c>
      <c r="FO16" s="471">
        <f t="shared" si="44"/>
        <v>126.19999999999999</v>
      </c>
      <c r="FP16" s="471">
        <f t="shared" si="45"/>
        <v>41.5</v>
      </c>
    </row>
    <row r="17" spans="2:172" ht="186.95">
      <c r="B17" s="3" t="s">
        <v>312</v>
      </c>
      <c r="C17" s="3" t="s">
        <v>287</v>
      </c>
      <c r="D17" s="28" t="s">
        <v>313</v>
      </c>
      <c r="E17" s="4">
        <v>6</v>
      </c>
      <c r="F17" s="123" t="str">
        <f t="shared" si="1"/>
        <v>○
[P・Q]
○・○</v>
      </c>
      <c r="G17" s="123" t="str">
        <f t="shared" si="2"/>
        <v>×
[P・Q]
○・×</v>
      </c>
      <c r="H17" s="123" t="str">
        <f t="shared" si="3"/>
        <v>○
[P・Q]
○・○</v>
      </c>
      <c r="I17" s="123" t="str">
        <f t="shared" si="4"/>
        <v>○
[P・Q]
○・○</v>
      </c>
      <c r="J17" s="123" t="str">
        <f t="shared" si="5"/>
        <v>×
[P・Q]
--・--</v>
      </c>
      <c r="K17" s="123" t="str">
        <f t="shared" si="6"/>
        <v>○
[P・Q]
○・○</v>
      </c>
      <c r="L17" s="123" t="str">
        <f t="shared" si="7"/>
        <v/>
      </c>
      <c r="M17" s="123" t="str">
        <f t="shared" si="8"/>
        <v/>
      </c>
      <c r="N17" s="123" t="str">
        <f t="shared" si="9"/>
        <v/>
      </c>
      <c r="O17" s="123" t="str">
        <f t="shared" si="10"/>
        <v/>
      </c>
      <c r="P17" s="123" t="str">
        <f t="shared" si="11"/>
        <v/>
      </c>
      <c r="Q17" s="123" t="str">
        <f t="shared" si="12"/>
        <v/>
      </c>
      <c r="R17" s="76">
        <f t="shared" si="13"/>
        <v>0.83333333333333337</v>
      </c>
      <c r="S17" s="4">
        <v>2</v>
      </c>
      <c r="T17" s="4">
        <v>3</v>
      </c>
      <c r="U17" s="4">
        <v>3</v>
      </c>
      <c r="V17" s="4">
        <v>5</v>
      </c>
      <c r="W17" s="77">
        <f t="shared" si="14"/>
        <v>31.25</v>
      </c>
      <c r="X17" s="77">
        <f t="shared" si="15"/>
        <v>25</v>
      </c>
      <c r="Y17" s="77" cm="1">
        <f t="array" ref="Y17">_xlfn.IFS(R17&gt;=0.8,5,R17&gt;=0.6,3,R17&gt;=0.2,1,R17&lt;0.2,0)</f>
        <v>5</v>
      </c>
      <c r="Z17" s="55">
        <f t="shared" si="46"/>
        <v>74.25</v>
      </c>
      <c r="AA17" s="130" t="s">
        <v>314</v>
      </c>
      <c r="AB17" s="199" t="s">
        <v>315</v>
      </c>
      <c r="AC17" s="80" t="s">
        <v>226</v>
      </c>
      <c r="AD17" s="5" t="s">
        <v>316</v>
      </c>
      <c r="AE17" s="142"/>
      <c r="AF17" s="5" t="s">
        <v>317</v>
      </c>
      <c r="AG17" s="310">
        <f>TaskEndDay!H11</f>
        <v>0.83333333333333337</v>
      </c>
      <c r="AH17" s="205">
        <f t="shared" si="51"/>
        <v>0.78573725909791481</v>
      </c>
      <c r="AI17" s="206">
        <f t="shared" si="52"/>
        <v>6.7609609061015705</v>
      </c>
      <c r="AJ17" s="80" t="str">
        <f t="shared" si="18"/>
        <v>HIGH</v>
      </c>
      <c r="AK17" s="80" t="str">
        <f t="shared" si="19"/>
        <v>HIGH</v>
      </c>
      <c r="AL17" s="352" t="s">
        <v>318</v>
      </c>
      <c r="AM17" s="5" t="s">
        <v>319</v>
      </c>
      <c r="AN17" s="128" t="str">
        <f>IF(AND(Z17&gt;Summary!$C$5, Z17&lt;=Summary!$D$5),Summary!$B$5,IF(AND(Z17&gt;Summary!$C$6, Z17&lt;=Summary!$D$6),Summary!$B$6,IF(AND(Z17&gt;Summary!$C$7, Z17&lt;=Summary!$D$7),Summary!$B$7,Summary!$B$8)))</f>
        <v>◎</v>
      </c>
      <c r="AO17" s="14" t="s">
        <v>168</v>
      </c>
      <c r="AP17" s="14"/>
      <c r="AQ17" s="14"/>
      <c r="AR17" s="14"/>
      <c r="AS17" s="14" t="s">
        <v>168</v>
      </c>
      <c r="AT17" s="29" t="s">
        <v>320</v>
      </c>
      <c r="AU17" s="36" t="s">
        <v>321</v>
      </c>
      <c r="AV17" s="4" t="s">
        <v>168</v>
      </c>
      <c r="AW17" s="6">
        <v>23.1</v>
      </c>
      <c r="AX17" s="6">
        <v>30.5</v>
      </c>
      <c r="AY17" s="33">
        <f t="shared" si="20"/>
        <v>0.75737704918032789</v>
      </c>
      <c r="AZ17" s="42">
        <v>0.68</v>
      </c>
      <c r="BA17" s="3">
        <v>1</v>
      </c>
      <c r="BB17" s="37">
        <f t="shared" si="21"/>
        <v>1.4705882352941175</v>
      </c>
      <c r="BC17" s="3">
        <v>1</v>
      </c>
      <c r="BD17" s="3">
        <v>1</v>
      </c>
      <c r="BE17" s="36" t="s">
        <v>322</v>
      </c>
      <c r="BF17" s="4" t="s">
        <v>168</v>
      </c>
      <c r="BG17" s="6">
        <v>10.5</v>
      </c>
      <c r="BH17" s="6">
        <v>15</v>
      </c>
      <c r="BI17" s="33">
        <f t="shared" si="22"/>
        <v>0.7</v>
      </c>
      <c r="BJ17" s="42">
        <v>0.16</v>
      </c>
      <c r="BK17" s="3">
        <v>3</v>
      </c>
      <c r="BL17" s="37">
        <f t="shared" si="23"/>
        <v>18.75</v>
      </c>
      <c r="BM17" s="3">
        <v>3</v>
      </c>
      <c r="BN17" s="3">
        <v>3</v>
      </c>
      <c r="BO17" s="36" t="s">
        <v>323</v>
      </c>
      <c r="BP17" s="4" t="s">
        <v>168</v>
      </c>
      <c r="BQ17" s="6">
        <v>10.4</v>
      </c>
      <c r="BR17" s="6">
        <v>11</v>
      </c>
      <c r="BS17" s="33">
        <f t="shared" si="24"/>
        <v>0.94545454545454544</v>
      </c>
      <c r="BT17" s="42">
        <v>0.34</v>
      </c>
      <c r="BU17" s="3">
        <v>2</v>
      </c>
      <c r="BV17" s="37">
        <f t="shared" si="25"/>
        <v>5.8823529411764701</v>
      </c>
      <c r="BW17" s="3">
        <v>2</v>
      </c>
      <c r="BX17" s="3">
        <v>2</v>
      </c>
      <c r="BY17" s="36" t="s">
        <v>324</v>
      </c>
      <c r="BZ17" s="4" t="s">
        <v>168</v>
      </c>
      <c r="CA17" s="6">
        <v>22.7</v>
      </c>
      <c r="CB17" s="6">
        <v>26</v>
      </c>
      <c r="CC17" s="33">
        <f t="shared" si="26"/>
        <v>0.87307692307692308</v>
      </c>
      <c r="CD17" s="42">
        <v>1.2</v>
      </c>
      <c r="CE17" s="3">
        <v>8</v>
      </c>
      <c r="CF17" s="37">
        <f t="shared" si="27"/>
        <v>6.666666666666667</v>
      </c>
      <c r="CG17" s="3">
        <v>8</v>
      </c>
      <c r="CH17" s="3">
        <v>8</v>
      </c>
      <c r="CI17" s="36" t="s">
        <v>325</v>
      </c>
      <c r="CJ17" s="4"/>
      <c r="CK17" s="6">
        <v>17.100000000000001</v>
      </c>
      <c r="CL17" s="6"/>
      <c r="CM17" s="33" t="str">
        <f t="shared" si="28"/>
        <v/>
      </c>
      <c r="CN17" s="42"/>
      <c r="CO17" s="3"/>
      <c r="CP17" s="37" t="str">
        <f t="shared" si="29"/>
        <v/>
      </c>
      <c r="CQ17" s="3"/>
      <c r="CR17" s="3"/>
      <c r="CS17" s="36" t="s">
        <v>326</v>
      </c>
      <c r="CT17" s="4" t="s">
        <v>168</v>
      </c>
      <c r="CU17" s="6">
        <v>23.5</v>
      </c>
      <c r="CV17" s="6">
        <v>36</v>
      </c>
      <c r="CW17" s="33">
        <f t="shared" si="30"/>
        <v>0.65277777777777779</v>
      </c>
      <c r="CX17" s="42">
        <v>2.8980000000000001</v>
      </c>
      <c r="CY17" s="3">
        <v>3</v>
      </c>
      <c r="CZ17" s="37">
        <f t="shared" si="31"/>
        <v>1.0351966873706004</v>
      </c>
      <c r="DA17" s="3">
        <v>3</v>
      </c>
      <c r="DB17" s="3">
        <v>3</v>
      </c>
      <c r="DC17" s="36"/>
      <c r="DD17" s="4"/>
      <c r="DE17" s="6"/>
      <c r="DF17" s="6"/>
      <c r="DG17" s="33" t="str">
        <f t="shared" si="32"/>
        <v/>
      </c>
      <c r="DH17" s="42"/>
      <c r="DI17" s="3"/>
      <c r="DJ17" s="37" t="str">
        <f t="shared" si="33"/>
        <v/>
      </c>
      <c r="DK17" s="3"/>
      <c r="DL17" s="3"/>
      <c r="DM17" s="4"/>
      <c r="DN17" s="4"/>
      <c r="DO17" s="6"/>
      <c r="DP17" s="6"/>
      <c r="DQ17" s="33" t="str">
        <f t="shared" si="34"/>
        <v/>
      </c>
      <c r="DR17" s="42"/>
      <c r="DS17" s="3"/>
      <c r="DT17" s="37" t="str">
        <f t="shared" si="35"/>
        <v/>
      </c>
      <c r="DU17" s="3"/>
      <c r="DV17" s="3"/>
      <c r="DW17" s="4"/>
      <c r="DX17" s="4"/>
      <c r="DY17" s="6"/>
      <c r="DZ17" s="6"/>
      <c r="EA17" s="33" t="str">
        <f t="shared" si="36"/>
        <v/>
      </c>
      <c r="EB17" s="42"/>
      <c r="EC17" s="3"/>
      <c r="ED17" s="37" t="str">
        <f t="shared" si="37"/>
        <v/>
      </c>
      <c r="EE17" s="3"/>
      <c r="EF17" s="3"/>
      <c r="EG17" s="4"/>
      <c r="EH17" s="4"/>
      <c r="EI17" s="6"/>
      <c r="EJ17" s="6"/>
      <c r="EK17" s="33" t="str">
        <f t="shared" si="38"/>
        <v/>
      </c>
      <c r="EL17" s="42"/>
      <c r="EM17" s="3"/>
      <c r="EN17" s="37" t="str">
        <f t="shared" si="39"/>
        <v/>
      </c>
      <c r="EO17" s="3"/>
      <c r="EP17" s="3"/>
      <c r="EQ17" s="4"/>
      <c r="ER17" s="4"/>
      <c r="ES17" s="6"/>
      <c r="ET17" s="6"/>
      <c r="EU17" s="33" t="str">
        <f t="shared" si="40"/>
        <v/>
      </c>
      <c r="EV17" s="42"/>
      <c r="EW17" s="3"/>
      <c r="EX17" s="37" t="str">
        <f t="shared" si="41"/>
        <v/>
      </c>
      <c r="EY17" s="3"/>
      <c r="EZ17" s="3"/>
      <c r="FA17" s="4"/>
      <c r="FB17" s="4"/>
      <c r="FC17" s="6"/>
      <c r="FD17" s="6"/>
      <c r="FE17" s="33" t="str">
        <f t="shared" si="42"/>
        <v/>
      </c>
      <c r="FF17" s="42"/>
      <c r="FG17" s="3"/>
      <c r="FH17" s="37" t="str">
        <f t="shared" si="43"/>
        <v/>
      </c>
      <c r="FI17" s="3"/>
      <c r="FJ17" s="3"/>
      <c r="FM17" s="54">
        <f t="shared" si="49"/>
        <v>5.2779999999999996</v>
      </c>
      <c r="FN17" s="54">
        <f t="shared" si="50"/>
        <v>17</v>
      </c>
      <c r="FO17" s="471">
        <f t="shared" si="44"/>
        <v>107.30000000000001</v>
      </c>
      <c r="FP17" s="471">
        <f t="shared" si="45"/>
        <v>118.5</v>
      </c>
    </row>
    <row r="18" spans="2:172" ht="192.75" customHeight="1">
      <c r="B18" s="27" t="s">
        <v>327</v>
      </c>
      <c r="C18" s="3" t="s">
        <v>223</v>
      </c>
      <c r="D18" s="28" t="s">
        <v>224</v>
      </c>
      <c r="E18" s="4">
        <v>6</v>
      </c>
      <c r="F18" s="123" t="str">
        <f t="shared" si="1"/>
        <v>○
[P・Q]
○・○</v>
      </c>
      <c r="G18" s="123" t="str">
        <f t="shared" si="2"/>
        <v>×
[P・Q]
×・○</v>
      </c>
      <c r="H18" s="123" t="str">
        <f t="shared" si="3"/>
        <v>×
[P・Q]
--・--</v>
      </c>
      <c r="I18" s="123" t="str">
        <f t="shared" si="4"/>
        <v>×
[P・Q]
--・--</v>
      </c>
      <c r="J18" s="123" t="str">
        <f t="shared" si="5"/>
        <v>×
[P・Q]
--・--</v>
      </c>
      <c r="K18" s="123" t="str">
        <f t="shared" si="6"/>
        <v>×
[P・Q]
--・--</v>
      </c>
      <c r="L18" s="123" t="str">
        <f t="shared" si="7"/>
        <v/>
      </c>
      <c r="M18" s="123" t="str">
        <f t="shared" si="8"/>
        <v/>
      </c>
      <c r="N18" s="123" t="str">
        <f t="shared" si="9"/>
        <v/>
      </c>
      <c r="O18" s="123" t="str">
        <f t="shared" si="10"/>
        <v/>
      </c>
      <c r="P18" s="123" t="str">
        <f t="shared" si="11"/>
        <v/>
      </c>
      <c r="Q18" s="123" t="str">
        <f t="shared" si="12"/>
        <v/>
      </c>
      <c r="R18" s="76">
        <f t="shared" si="13"/>
        <v>0.33333333333333331</v>
      </c>
      <c r="S18" s="4">
        <v>5</v>
      </c>
      <c r="T18" s="4">
        <v>5</v>
      </c>
      <c r="U18" s="4">
        <v>3</v>
      </c>
      <c r="V18" s="4">
        <v>1</v>
      </c>
      <c r="W18" s="77">
        <f t="shared" si="14"/>
        <v>6.25</v>
      </c>
      <c r="X18" s="77">
        <f t="shared" si="15"/>
        <v>12.5</v>
      </c>
      <c r="Y18" s="77" cm="1">
        <f t="array" ref="Y18">_xlfn.IFS(R18&gt;=0.8,5,R18&gt;=0.6,3,R18&gt;=0.2,1,R18&lt;0.2,0)</f>
        <v>1</v>
      </c>
      <c r="Z18" s="55">
        <f>SUM(S18:Y18)</f>
        <v>33.75</v>
      </c>
      <c r="AA18" s="130" t="s">
        <v>328</v>
      </c>
      <c r="AB18" s="5" t="s">
        <v>329</v>
      </c>
      <c r="AC18" s="130"/>
      <c r="AD18" s="130"/>
      <c r="AE18" s="5"/>
      <c r="AF18" s="5"/>
      <c r="AG18" s="310">
        <f>TaskEndDay!H12</f>
        <v>0.5</v>
      </c>
      <c r="AH18" s="205">
        <f t="shared" si="51"/>
        <v>0.69987179487179496</v>
      </c>
      <c r="AI18" s="206">
        <f t="shared" si="52"/>
        <v>1.0162601626016261</v>
      </c>
      <c r="AJ18" s="80" t="str">
        <f t="shared" si="18"/>
        <v>HIGH</v>
      </c>
      <c r="AK18" s="80" t="str">
        <f t="shared" si="19"/>
        <v>HIGH</v>
      </c>
      <c r="AL18" s="239" t="s">
        <v>330</v>
      </c>
      <c r="AM18" s="354" t="s">
        <v>331</v>
      </c>
      <c r="AN18" s="126" t="str">
        <f>IF(AND(Z18&gt;Summary!$C$5, Z18&lt;=Summary!$D$5),Summary!$B$5,IF(AND(Z18&gt;Summary!$C$6, Z18&lt;=Summary!$D$6),Summary!$B$6,IF(AND(Z18&gt;Summary!$C$7, Z18&lt;=Summary!$D$7),Summary!$B$7,Summary!$B$8)))</f>
        <v>△</v>
      </c>
      <c r="AO18" s="14" t="s">
        <v>178</v>
      </c>
      <c r="AP18" s="14"/>
      <c r="AQ18" s="14"/>
      <c r="AR18" s="14"/>
      <c r="AS18" s="14" t="s">
        <v>168</v>
      </c>
      <c r="AT18" s="29" t="s">
        <v>304</v>
      </c>
      <c r="AU18" s="36" t="s">
        <v>332</v>
      </c>
      <c r="AV18" s="4" t="s">
        <v>168</v>
      </c>
      <c r="AW18" s="6">
        <v>22.7</v>
      </c>
      <c r="AX18" s="6">
        <v>26</v>
      </c>
      <c r="AY18" s="33">
        <f t="shared" si="20"/>
        <v>0.87307692307692308</v>
      </c>
      <c r="AZ18" s="42">
        <v>0.41699999999999998</v>
      </c>
      <c r="BA18" s="3">
        <v>0</v>
      </c>
      <c r="BB18" s="37">
        <f t="shared" si="21"/>
        <v>0</v>
      </c>
      <c r="BC18" s="3">
        <v>0</v>
      </c>
      <c r="BD18" s="3">
        <v>0</v>
      </c>
      <c r="BE18" s="36" t="s">
        <v>333</v>
      </c>
      <c r="BF18" s="4" t="s">
        <v>168</v>
      </c>
      <c r="BG18" s="6">
        <v>15.8</v>
      </c>
      <c r="BH18" s="6">
        <v>30</v>
      </c>
      <c r="BI18" s="33">
        <f t="shared" si="22"/>
        <v>0.52666666666666673</v>
      </c>
      <c r="BJ18" s="42">
        <v>0.49199999999999999</v>
      </c>
      <c r="BK18" s="3">
        <v>1</v>
      </c>
      <c r="BL18" s="37">
        <f t="shared" si="23"/>
        <v>2.0325203252032522</v>
      </c>
      <c r="BM18" s="3">
        <v>1</v>
      </c>
      <c r="BN18" s="3">
        <v>1</v>
      </c>
      <c r="BO18" s="36" t="s">
        <v>334</v>
      </c>
      <c r="BP18" s="4"/>
      <c r="BQ18" s="6">
        <v>22.8</v>
      </c>
      <c r="BR18" s="6"/>
      <c r="BS18" s="33" t="str">
        <f t="shared" si="24"/>
        <v/>
      </c>
      <c r="BT18" s="42"/>
      <c r="BU18" s="3"/>
      <c r="BV18" s="37" t="str">
        <f t="shared" si="25"/>
        <v/>
      </c>
      <c r="BW18" s="3"/>
      <c r="BX18" s="3"/>
      <c r="BY18" s="36" t="s">
        <v>335</v>
      </c>
      <c r="BZ18" s="4"/>
      <c r="CA18" s="6">
        <v>16.2</v>
      </c>
      <c r="CB18" s="6"/>
      <c r="CC18" s="33" t="str">
        <f t="shared" si="26"/>
        <v/>
      </c>
      <c r="CD18" s="42"/>
      <c r="CE18" s="3"/>
      <c r="CF18" s="37" t="str">
        <f t="shared" si="27"/>
        <v/>
      </c>
      <c r="CG18" s="3"/>
      <c r="CH18" s="3"/>
      <c r="CI18" s="36" t="s">
        <v>336</v>
      </c>
      <c r="CJ18" s="4"/>
      <c r="CK18" s="6">
        <v>22.8</v>
      </c>
      <c r="CL18" s="6"/>
      <c r="CM18" s="33" t="str">
        <f t="shared" si="28"/>
        <v/>
      </c>
      <c r="CN18" s="42"/>
      <c r="CO18" s="3"/>
      <c r="CP18" s="37" t="str">
        <f t="shared" si="29"/>
        <v/>
      </c>
      <c r="CQ18" s="3"/>
      <c r="CR18" s="3"/>
      <c r="CS18" s="36" t="s">
        <v>337</v>
      </c>
      <c r="CT18" s="4"/>
      <c r="CU18" s="6">
        <v>22.7</v>
      </c>
      <c r="CV18" s="6"/>
      <c r="CW18" s="33" t="str">
        <f t="shared" si="30"/>
        <v/>
      </c>
      <c r="CX18" s="42"/>
      <c r="CY18" s="3"/>
      <c r="CZ18" s="37" t="str">
        <f t="shared" si="31"/>
        <v/>
      </c>
      <c r="DA18" s="3"/>
      <c r="DB18" s="3"/>
      <c r="DC18" s="4"/>
      <c r="DD18" s="4"/>
      <c r="DE18" s="6"/>
      <c r="DF18" s="6"/>
      <c r="DG18" s="33" t="str">
        <f t="shared" si="32"/>
        <v/>
      </c>
      <c r="DH18" s="42"/>
      <c r="DI18" s="3"/>
      <c r="DJ18" s="37" t="str">
        <f t="shared" si="33"/>
        <v/>
      </c>
      <c r="DK18" s="3"/>
      <c r="DL18" s="3"/>
      <c r="DM18" s="4"/>
      <c r="DN18" s="4"/>
      <c r="DO18" s="6"/>
      <c r="DP18" s="6"/>
      <c r="DQ18" s="33" t="str">
        <f t="shared" si="34"/>
        <v/>
      </c>
      <c r="DR18" s="42"/>
      <c r="DS18" s="3"/>
      <c r="DT18" s="37" t="str">
        <f t="shared" si="35"/>
        <v/>
      </c>
      <c r="DU18" s="3"/>
      <c r="DV18" s="3"/>
      <c r="DW18" s="4"/>
      <c r="DX18" s="4"/>
      <c r="DY18" s="6"/>
      <c r="DZ18" s="6"/>
      <c r="EA18" s="33" t="str">
        <f t="shared" si="36"/>
        <v/>
      </c>
      <c r="EB18" s="42"/>
      <c r="EC18" s="3"/>
      <c r="ED18" s="37" t="str">
        <f t="shared" si="37"/>
        <v/>
      </c>
      <c r="EE18" s="3"/>
      <c r="EF18" s="3"/>
      <c r="EG18" s="4"/>
      <c r="EH18" s="4"/>
      <c r="EI18" s="6"/>
      <c r="EJ18" s="6"/>
      <c r="EK18" s="33" t="str">
        <f t="shared" si="38"/>
        <v/>
      </c>
      <c r="EL18" s="42"/>
      <c r="EM18" s="3"/>
      <c r="EN18" s="37" t="str">
        <f t="shared" si="39"/>
        <v/>
      </c>
      <c r="EO18" s="3"/>
      <c r="EP18" s="3"/>
      <c r="EQ18" s="4"/>
      <c r="ER18" s="4"/>
      <c r="ES18" s="6"/>
      <c r="ET18" s="6"/>
      <c r="EU18" s="33" t="str">
        <f t="shared" si="40"/>
        <v/>
      </c>
      <c r="EV18" s="42"/>
      <c r="EW18" s="3"/>
      <c r="EX18" s="37" t="str">
        <f t="shared" si="41"/>
        <v/>
      </c>
      <c r="EY18" s="3"/>
      <c r="EZ18" s="3"/>
      <c r="FA18" s="4"/>
      <c r="FB18" s="4"/>
      <c r="FC18" s="6"/>
      <c r="FD18" s="6"/>
      <c r="FE18" s="33" t="str">
        <f t="shared" si="42"/>
        <v/>
      </c>
      <c r="FF18" s="42"/>
      <c r="FG18" s="3"/>
      <c r="FH18" s="37" t="str">
        <f t="shared" si="43"/>
        <v/>
      </c>
      <c r="FI18" s="3"/>
      <c r="FJ18" s="3"/>
      <c r="FM18" s="54">
        <f t="shared" si="49"/>
        <v>0.90900000000000003</v>
      </c>
      <c r="FN18" s="54">
        <f t="shared" si="50"/>
        <v>1</v>
      </c>
      <c r="FO18" s="471">
        <f t="shared" si="44"/>
        <v>123</v>
      </c>
      <c r="FP18" s="471">
        <f t="shared" si="45"/>
        <v>56</v>
      </c>
    </row>
    <row r="19" spans="2:172" ht="231">
      <c r="B19" s="3" t="s">
        <v>338</v>
      </c>
      <c r="C19" s="3" t="s">
        <v>223</v>
      </c>
      <c r="D19" s="28" t="s">
        <v>224</v>
      </c>
      <c r="E19" s="4">
        <v>7</v>
      </c>
      <c r="F19" s="123" t="str">
        <f t="shared" si="1"/>
        <v>×
[P・Q]
○・--</v>
      </c>
      <c r="G19" s="123" t="str">
        <f t="shared" si="2"/>
        <v>○
[P・Q]
○・○</v>
      </c>
      <c r="H19" s="123" t="str">
        <f t="shared" si="3"/>
        <v>×
[P・Q]
--・--</v>
      </c>
      <c r="I19" s="123" t="str">
        <f t="shared" si="4"/>
        <v>×
[P・Q]
--・--</v>
      </c>
      <c r="J19" s="123" t="str">
        <f t="shared" si="5"/>
        <v>×
[P・Q]
--・--</v>
      </c>
      <c r="K19" s="123" t="str">
        <f t="shared" si="6"/>
        <v>×
[P・Q]
--・--</v>
      </c>
      <c r="L19" s="123" t="str">
        <f t="shared" si="7"/>
        <v>×
[P・Q]
--・--</v>
      </c>
      <c r="M19" s="123" t="str">
        <f t="shared" si="8"/>
        <v/>
      </c>
      <c r="N19" s="123" t="str">
        <f t="shared" si="9"/>
        <v/>
      </c>
      <c r="O19" s="123" t="str">
        <f t="shared" si="10"/>
        <v/>
      </c>
      <c r="P19" s="123" t="str">
        <f t="shared" si="11"/>
        <v/>
      </c>
      <c r="Q19" s="123" t="str">
        <f t="shared" si="12"/>
        <v/>
      </c>
      <c r="R19" s="76">
        <f t="shared" si="13"/>
        <v>0.2857142857142857</v>
      </c>
      <c r="S19" s="4">
        <v>3</v>
      </c>
      <c r="T19" s="4">
        <v>1</v>
      </c>
      <c r="U19" s="4">
        <v>3</v>
      </c>
      <c r="V19" s="4">
        <v>1</v>
      </c>
      <c r="W19" s="77">
        <f t="shared" si="14"/>
        <v>10.714285714285714</v>
      </c>
      <c r="X19" s="77">
        <f t="shared" si="15"/>
        <v>5.3571428571428568</v>
      </c>
      <c r="Y19" s="77" cm="1">
        <f t="array" ref="Y19">_xlfn.IFS(R19&gt;=0.8,5,R19&gt;=0.6,3,R19&gt;=0.2,1,R19&lt;0.2,0)</f>
        <v>1</v>
      </c>
      <c r="Z19" s="55">
        <f t="shared" si="46"/>
        <v>25.071428571428573</v>
      </c>
      <c r="AA19" s="130" t="s">
        <v>339</v>
      </c>
      <c r="AB19" s="5" t="s">
        <v>340</v>
      </c>
      <c r="AC19" s="5"/>
      <c r="AD19" s="5"/>
      <c r="AE19" s="5"/>
      <c r="AF19" s="5"/>
      <c r="AG19" s="310">
        <f>TaskEndDay!H13</f>
        <v>0.7142857142857143</v>
      </c>
      <c r="AH19" s="205">
        <f t="shared" si="51"/>
        <v>0.67295081967213111</v>
      </c>
      <c r="AI19" s="206">
        <f t="shared" si="52"/>
        <v>3.773584905660377</v>
      </c>
      <c r="AJ19" s="80" t="str">
        <f t="shared" si="18"/>
        <v>HIGH</v>
      </c>
      <c r="AK19" s="80" t="str">
        <f t="shared" si="19"/>
        <v>HIGH</v>
      </c>
      <c r="AL19" s="5"/>
      <c r="AM19" s="5"/>
      <c r="AN19" s="126" t="str">
        <f>IF(AND(Z19&gt;Summary!$C$5, Z19&lt;=Summary!$D$5),Summary!$B$5,IF(AND(Z19&gt;Summary!$C$6, Z19&lt;=Summary!$D$6),Summary!$B$6,IF(AND(Z19&gt;Summary!$C$7, Z19&lt;=Summary!$D$7),Summary!$B$7,Summary!$B$8)))</f>
        <v>×</v>
      </c>
      <c r="AO19" s="14" t="s">
        <v>178</v>
      </c>
      <c r="AP19" s="14" t="s">
        <v>168</v>
      </c>
      <c r="AQ19" s="14"/>
      <c r="AR19" s="14"/>
      <c r="AS19" s="14"/>
      <c r="AT19" s="29" t="s">
        <v>304</v>
      </c>
      <c r="AU19" s="36" t="s">
        <v>341</v>
      </c>
      <c r="AV19" s="4" t="s">
        <v>168</v>
      </c>
      <c r="AW19" s="6">
        <v>19.7</v>
      </c>
      <c r="AX19" s="6">
        <v>30.5</v>
      </c>
      <c r="AY19" s="33">
        <f t="shared" si="20"/>
        <v>0.64590163934426226</v>
      </c>
      <c r="AZ19" s="42">
        <v>0.33900000000000002</v>
      </c>
      <c r="BA19" s="3"/>
      <c r="BB19" s="37" t="str">
        <f t="shared" si="21"/>
        <v/>
      </c>
      <c r="BC19" s="3"/>
      <c r="BD19" s="3"/>
      <c r="BE19" s="36" t="s">
        <v>342</v>
      </c>
      <c r="BF19" s="4" t="s">
        <v>168</v>
      </c>
      <c r="BG19" s="6">
        <v>10.5</v>
      </c>
      <c r="BH19" s="6">
        <v>15</v>
      </c>
      <c r="BI19" s="33">
        <f t="shared" si="22"/>
        <v>0.7</v>
      </c>
      <c r="BJ19" s="42">
        <v>0.26500000000000001</v>
      </c>
      <c r="BK19" s="3">
        <v>1</v>
      </c>
      <c r="BL19" s="37">
        <f t="shared" si="23"/>
        <v>3.773584905660377</v>
      </c>
      <c r="BM19" s="3">
        <v>1</v>
      </c>
      <c r="BN19" s="3">
        <v>1</v>
      </c>
      <c r="BO19" s="36" t="s">
        <v>343</v>
      </c>
      <c r="BP19" s="4"/>
      <c r="BQ19" s="6">
        <v>10.4</v>
      </c>
      <c r="BR19" s="6"/>
      <c r="BS19" s="33" t="str">
        <f t="shared" si="24"/>
        <v/>
      </c>
      <c r="BT19" s="42"/>
      <c r="BU19" s="3"/>
      <c r="BV19" s="37" t="str">
        <f t="shared" si="25"/>
        <v/>
      </c>
      <c r="BW19" s="3"/>
      <c r="BX19" s="3"/>
      <c r="BY19" s="36" t="s">
        <v>344</v>
      </c>
      <c r="BZ19" s="4"/>
      <c r="CA19" s="6">
        <v>22.9</v>
      </c>
      <c r="CB19" s="6"/>
      <c r="CC19" s="33" t="str">
        <f t="shared" si="26"/>
        <v/>
      </c>
      <c r="CD19" s="42"/>
      <c r="CE19" s="3"/>
      <c r="CF19" s="37" t="str">
        <f t="shared" si="27"/>
        <v/>
      </c>
      <c r="CG19" s="3"/>
      <c r="CH19" s="3"/>
      <c r="CI19" s="36" t="s">
        <v>345</v>
      </c>
      <c r="CJ19" s="4"/>
      <c r="CK19" s="6">
        <v>23.4</v>
      </c>
      <c r="CL19" s="6"/>
      <c r="CM19" s="33" t="str">
        <f t="shared" si="28"/>
        <v/>
      </c>
      <c r="CN19" s="42"/>
      <c r="CO19" s="3"/>
      <c r="CP19" s="37" t="str">
        <f t="shared" si="29"/>
        <v/>
      </c>
      <c r="CQ19" s="3"/>
      <c r="CR19" s="3"/>
      <c r="CS19" s="36" t="s">
        <v>346</v>
      </c>
      <c r="CT19" s="4"/>
      <c r="CU19" s="6">
        <v>22.8</v>
      </c>
      <c r="CV19" s="6"/>
      <c r="CW19" s="33" t="str">
        <f t="shared" si="30"/>
        <v/>
      </c>
      <c r="CX19" s="42"/>
      <c r="CY19" s="3"/>
      <c r="CZ19" s="37" t="str">
        <f t="shared" si="31"/>
        <v/>
      </c>
      <c r="DA19" s="3"/>
      <c r="DB19" s="3"/>
      <c r="DC19" s="36" t="s">
        <v>347</v>
      </c>
      <c r="DD19" s="4"/>
      <c r="DE19" s="6">
        <v>15.5</v>
      </c>
      <c r="DF19" s="6"/>
      <c r="DG19" s="33" t="str">
        <f t="shared" si="32"/>
        <v/>
      </c>
      <c r="DH19" s="42"/>
      <c r="DI19" s="3"/>
      <c r="DJ19" s="37" t="str">
        <f t="shared" si="33"/>
        <v/>
      </c>
      <c r="DK19" s="3"/>
      <c r="DL19" s="3"/>
      <c r="DM19" s="4"/>
      <c r="DN19" s="4"/>
      <c r="DO19" s="6"/>
      <c r="DP19" s="6"/>
      <c r="DQ19" s="33" t="str">
        <f t="shared" si="34"/>
        <v/>
      </c>
      <c r="DR19" s="42"/>
      <c r="DS19" s="3"/>
      <c r="DT19" s="37" t="str">
        <f t="shared" si="35"/>
        <v/>
      </c>
      <c r="DU19" s="3"/>
      <c r="DV19" s="3"/>
      <c r="DW19" s="4"/>
      <c r="DX19" s="4"/>
      <c r="DY19" s="6"/>
      <c r="DZ19" s="6"/>
      <c r="EA19" s="33" t="str">
        <f t="shared" si="36"/>
        <v/>
      </c>
      <c r="EB19" s="42"/>
      <c r="EC19" s="3"/>
      <c r="ED19" s="37" t="str">
        <f t="shared" si="37"/>
        <v/>
      </c>
      <c r="EE19" s="3"/>
      <c r="EF19" s="3"/>
      <c r="EG19" s="4"/>
      <c r="EH19" s="4"/>
      <c r="EI19" s="6"/>
      <c r="EJ19" s="6"/>
      <c r="EK19" s="33" t="str">
        <f t="shared" si="38"/>
        <v/>
      </c>
      <c r="EL19" s="42"/>
      <c r="EM19" s="3"/>
      <c r="EN19" s="37" t="str">
        <f t="shared" si="39"/>
        <v/>
      </c>
      <c r="EO19" s="3"/>
      <c r="EP19" s="3"/>
      <c r="EQ19" s="4"/>
      <c r="ER19" s="4"/>
      <c r="ES19" s="6"/>
      <c r="ET19" s="6"/>
      <c r="EU19" s="33" t="str">
        <f t="shared" si="40"/>
        <v/>
      </c>
      <c r="EV19" s="42"/>
      <c r="EW19" s="3"/>
      <c r="EX19" s="37" t="str">
        <f t="shared" si="41"/>
        <v/>
      </c>
      <c r="EY19" s="3"/>
      <c r="EZ19" s="3"/>
      <c r="FA19" s="4"/>
      <c r="FB19" s="4"/>
      <c r="FC19" s="6"/>
      <c r="FD19" s="6"/>
      <c r="FE19" s="33" t="str">
        <f t="shared" si="42"/>
        <v/>
      </c>
      <c r="FF19" s="42"/>
      <c r="FG19" s="3"/>
      <c r="FH19" s="37" t="str">
        <f t="shared" si="43"/>
        <v/>
      </c>
      <c r="FI19" s="3"/>
      <c r="FJ19" s="3"/>
      <c r="FM19" s="54">
        <f t="shared" si="49"/>
        <v>0.60400000000000009</v>
      </c>
      <c r="FN19" s="54">
        <f t="shared" si="50"/>
        <v>1</v>
      </c>
      <c r="FO19" s="471">
        <f t="shared" si="44"/>
        <v>125.2</v>
      </c>
      <c r="FP19" s="471">
        <f t="shared" si="45"/>
        <v>45.5</v>
      </c>
    </row>
    <row r="20" spans="2:172" ht="120.95">
      <c r="B20" s="27" t="s">
        <v>348</v>
      </c>
      <c r="C20" s="27" t="s">
        <v>223</v>
      </c>
      <c r="D20" s="28" t="s">
        <v>224</v>
      </c>
      <c r="E20" s="4">
        <v>7</v>
      </c>
      <c r="F20" s="123" t="str">
        <f t="shared" si="1"/>
        <v>○
[P・Q]
○・○</v>
      </c>
      <c r="G20" s="123" t="str">
        <f t="shared" si="2"/>
        <v>×
[P・Q]
--・--</v>
      </c>
      <c r="H20" s="123" t="str">
        <f t="shared" si="3"/>
        <v>×
[P・Q]
--・--</v>
      </c>
      <c r="I20" s="123" t="str">
        <f t="shared" si="4"/>
        <v>×
[P・Q]
--・--</v>
      </c>
      <c r="J20" s="123" t="str">
        <f t="shared" si="5"/>
        <v>×
[P・Q]
--・--</v>
      </c>
      <c r="K20" s="123" t="str">
        <f t="shared" si="6"/>
        <v>×
[P・Q]
--・--</v>
      </c>
      <c r="L20" s="123" t="str">
        <f t="shared" si="7"/>
        <v>×
[P・Q]
--・--</v>
      </c>
      <c r="M20" s="123" t="str">
        <f t="shared" si="8"/>
        <v/>
      </c>
      <c r="N20" s="123" t="str">
        <f t="shared" si="9"/>
        <v/>
      </c>
      <c r="O20" s="123" t="str">
        <f t="shared" si="10"/>
        <v/>
      </c>
      <c r="P20" s="123" t="str">
        <f t="shared" si="11"/>
        <v/>
      </c>
      <c r="Q20" s="123" t="str">
        <f t="shared" si="12"/>
        <v/>
      </c>
      <c r="R20" s="76">
        <f t="shared" si="13"/>
        <v>0.14285714285714285</v>
      </c>
      <c r="S20" s="4">
        <v>2</v>
      </c>
      <c r="T20" s="4">
        <v>2</v>
      </c>
      <c r="U20" s="4">
        <v>3</v>
      </c>
      <c r="V20" s="4">
        <v>3</v>
      </c>
      <c r="W20" s="77">
        <f t="shared" si="14"/>
        <v>5.3571428571428568</v>
      </c>
      <c r="X20" s="77">
        <f t="shared" si="15"/>
        <v>5.3571428571428568</v>
      </c>
      <c r="Y20" s="77" cm="1">
        <f t="array" ref="Y20">_xlfn.IFS(R20&gt;=0.8,5,R20&gt;=0.6,3,R20&gt;=0.2,1,R20&lt;0.2,0)</f>
        <v>0</v>
      </c>
      <c r="Z20" s="55">
        <f t="shared" si="46"/>
        <v>20.714285714285715</v>
      </c>
      <c r="AA20" s="130" t="s">
        <v>349</v>
      </c>
      <c r="AB20" s="5" t="s">
        <v>350</v>
      </c>
      <c r="AC20" s="5"/>
      <c r="AD20" s="5"/>
      <c r="AE20" s="5"/>
      <c r="AF20" s="5"/>
      <c r="AG20" s="310">
        <f>TaskEndDay!H14</f>
        <v>0.5714285714285714</v>
      </c>
      <c r="AH20" s="205">
        <f t="shared" si="51"/>
        <v>0.67058823529411771</v>
      </c>
      <c r="AI20" s="206">
        <f t="shared" si="52"/>
        <v>5.1387461459403907</v>
      </c>
      <c r="AJ20" s="80" t="str">
        <f t="shared" si="18"/>
        <v>HIGH</v>
      </c>
      <c r="AK20" s="80" t="str">
        <f t="shared" si="19"/>
        <v>HIGH</v>
      </c>
      <c r="AL20" s="5"/>
      <c r="AM20" s="5"/>
      <c r="AN20" s="126" t="str">
        <f>IF(AND(Z20&gt;Summary!$C$5, Z20&lt;=Summary!$D$5),Summary!$B$5,IF(AND(Z20&gt;Summary!$C$6, Z20&lt;=Summary!$D$6),Summary!$B$6,IF(AND(Z20&gt;Summary!$C$7, Z20&lt;=Summary!$D$7),Summary!$B$7,Summary!$B$8)))</f>
        <v>×</v>
      </c>
      <c r="AO20" s="14" t="s">
        <v>178</v>
      </c>
      <c r="AP20" s="14" t="s">
        <v>168</v>
      </c>
      <c r="AQ20" s="14"/>
      <c r="AR20" s="14"/>
      <c r="AS20" s="14"/>
      <c r="AT20" s="29" t="s">
        <v>304</v>
      </c>
      <c r="AU20" s="36" t="s">
        <v>351</v>
      </c>
      <c r="AV20" s="4" t="s">
        <v>168</v>
      </c>
      <c r="AW20" s="6">
        <v>22.8</v>
      </c>
      <c r="AX20" s="6">
        <v>34</v>
      </c>
      <c r="AY20" s="33">
        <f t="shared" si="20"/>
        <v>0.67058823529411771</v>
      </c>
      <c r="AZ20" s="42">
        <v>0.97299999999999998</v>
      </c>
      <c r="BA20" s="3">
        <v>5</v>
      </c>
      <c r="BB20" s="37">
        <f t="shared" si="21"/>
        <v>5.1387461459403907</v>
      </c>
      <c r="BC20" s="3"/>
      <c r="BD20" s="3"/>
      <c r="BE20" s="36" t="s">
        <v>352</v>
      </c>
      <c r="BF20" s="4"/>
      <c r="BG20" s="6">
        <v>15.7</v>
      </c>
      <c r="BH20" s="6"/>
      <c r="BI20" s="33" t="str">
        <f t="shared" si="22"/>
        <v/>
      </c>
      <c r="BJ20" s="42"/>
      <c r="BK20" s="3"/>
      <c r="BL20" s="37" t="str">
        <f t="shared" si="23"/>
        <v/>
      </c>
      <c r="BM20" s="3"/>
      <c r="BN20" s="3"/>
      <c r="BO20" s="36" t="s">
        <v>353</v>
      </c>
      <c r="BP20" s="4"/>
      <c r="BQ20" s="6">
        <v>10.7</v>
      </c>
      <c r="BR20" s="6"/>
      <c r="BS20" s="33" t="str">
        <f t="shared" si="24"/>
        <v/>
      </c>
      <c r="BT20" s="42"/>
      <c r="BU20" s="3"/>
      <c r="BV20" s="37" t="str">
        <f t="shared" si="25"/>
        <v/>
      </c>
      <c r="BW20" s="3"/>
      <c r="BX20" s="3"/>
      <c r="BY20" s="36" t="s">
        <v>354</v>
      </c>
      <c r="BZ20" s="4"/>
      <c r="CA20" s="6">
        <v>22.9</v>
      </c>
      <c r="CB20" s="6"/>
      <c r="CC20" s="33" t="str">
        <f t="shared" si="26"/>
        <v/>
      </c>
      <c r="CD20" s="42"/>
      <c r="CE20" s="3"/>
      <c r="CF20" s="37" t="str">
        <f t="shared" si="27"/>
        <v/>
      </c>
      <c r="CG20" s="3"/>
      <c r="CH20" s="3"/>
      <c r="CI20" s="36" t="s">
        <v>355</v>
      </c>
      <c r="CJ20" s="4"/>
      <c r="CK20" s="6">
        <v>18.100000000000001</v>
      </c>
      <c r="CL20" s="6"/>
      <c r="CM20" s="33" t="str">
        <f t="shared" si="28"/>
        <v/>
      </c>
      <c r="CN20" s="42"/>
      <c r="CO20" s="3"/>
      <c r="CP20" s="37" t="str">
        <f t="shared" si="29"/>
        <v/>
      </c>
      <c r="CQ20" s="3"/>
      <c r="CR20" s="3"/>
      <c r="CS20" s="36" t="s">
        <v>356</v>
      </c>
      <c r="CT20" s="4"/>
      <c r="CU20" s="6">
        <v>10.5</v>
      </c>
      <c r="CV20" s="6"/>
      <c r="CW20" s="33" t="str">
        <f t="shared" si="30"/>
        <v/>
      </c>
      <c r="CX20" s="42"/>
      <c r="CY20" s="3"/>
      <c r="CZ20" s="37" t="str">
        <f t="shared" si="31"/>
        <v/>
      </c>
      <c r="DA20" s="3"/>
      <c r="DB20" s="3"/>
      <c r="DC20" s="36" t="s">
        <v>357</v>
      </c>
      <c r="DD20" s="4"/>
      <c r="DE20" s="6">
        <v>23</v>
      </c>
      <c r="DF20" s="6"/>
      <c r="DG20" s="33" t="str">
        <f t="shared" si="32"/>
        <v/>
      </c>
      <c r="DH20" s="42"/>
      <c r="DI20" s="3"/>
      <c r="DJ20" s="37" t="str">
        <f t="shared" si="33"/>
        <v/>
      </c>
      <c r="DK20" s="3"/>
      <c r="DL20" s="3"/>
      <c r="DM20" s="4"/>
      <c r="DN20" s="4"/>
      <c r="DO20" s="6"/>
      <c r="DP20" s="6"/>
      <c r="DQ20" s="33" t="str">
        <f t="shared" si="34"/>
        <v/>
      </c>
      <c r="DR20" s="42"/>
      <c r="DS20" s="3"/>
      <c r="DT20" s="37" t="str">
        <f t="shared" si="35"/>
        <v/>
      </c>
      <c r="DU20" s="3"/>
      <c r="DV20" s="3"/>
      <c r="DW20" s="4"/>
      <c r="DX20" s="4"/>
      <c r="DY20" s="6"/>
      <c r="DZ20" s="6"/>
      <c r="EA20" s="33" t="str">
        <f t="shared" si="36"/>
        <v/>
      </c>
      <c r="EB20" s="42"/>
      <c r="EC20" s="3"/>
      <c r="ED20" s="37" t="str">
        <f t="shared" si="37"/>
        <v/>
      </c>
      <c r="EE20" s="3"/>
      <c r="EF20" s="3"/>
      <c r="EG20" s="4"/>
      <c r="EH20" s="4"/>
      <c r="EI20" s="6"/>
      <c r="EJ20" s="6"/>
      <c r="EK20" s="33" t="str">
        <f t="shared" si="38"/>
        <v/>
      </c>
      <c r="EL20" s="42"/>
      <c r="EM20" s="3"/>
      <c r="EN20" s="37" t="str">
        <f t="shared" si="39"/>
        <v/>
      </c>
      <c r="EO20" s="3"/>
      <c r="EP20" s="3"/>
      <c r="EQ20" s="4"/>
      <c r="ER20" s="4"/>
      <c r="ES20" s="6"/>
      <c r="ET20" s="6"/>
      <c r="EU20" s="33" t="str">
        <f t="shared" si="40"/>
        <v/>
      </c>
      <c r="EV20" s="42"/>
      <c r="EW20" s="3"/>
      <c r="EX20" s="37" t="str">
        <f t="shared" si="41"/>
        <v/>
      </c>
      <c r="EY20" s="3"/>
      <c r="EZ20" s="3"/>
      <c r="FA20" s="4"/>
      <c r="FB20" s="4"/>
      <c r="FC20" s="6"/>
      <c r="FD20" s="6"/>
      <c r="FE20" s="33" t="str">
        <f t="shared" si="42"/>
        <v/>
      </c>
      <c r="FF20" s="42"/>
      <c r="FG20" s="3"/>
      <c r="FH20" s="37" t="str">
        <f t="shared" si="43"/>
        <v/>
      </c>
      <c r="FI20" s="3"/>
      <c r="FJ20" s="3"/>
      <c r="FM20" s="54">
        <f t="shared" si="49"/>
        <v>0.97299999999999998</v>
      </c>
      <c r="FN20" s="54">
        <f t="shared" si="50"/>
        <v>5</v>
      </c>
      <c r="FO20" s="471">
        <f t="shared" si="44"/>
        <v>123.7</v>
      </c>
      <c r="FP20" s="471">
        <f t="shared" si="45"/>
        <v>34</v>
      </c>
    </row>
    <row r="21" spans="2:172" ht="186.95">
      <c r="B21" s="3" t="s">
        <v>358</v>
      </c>
      <c r="C21" s="3" t="s">
        <v>223</v>
      </c>
      <c r="D21" s="28" t="s">
        <v>224</v>
      </c>
      <c r="E21" s="4">
        <v>6</v>
      </c>
      <c r="F21" s="123" t="str">
        <f t="shared" si="1"/>
        <v>○
[P・Q]
○・○</v>
      </c>
      <c r="G21" s="123" t="str">
        <f t="shared" si="2"/>
        <v>×
[P・Q]
×・×</v>
      </c>
      <c r="H21" s="123" t="str">
        <f t="shared" si="3"/>
        <v>×
[P・Q]
○・--</v>
      </c>
      <c r="I21" s="123" t="str">
        <f t="shared" si="4"/>
        <v>×
[P・Q]
--・--</v>
      </c>
      <c r="J21" s="123" t="str">
        <f t="shared" si="5"/>
        <v>○
[P・Q]
○・○</v>
      </c>
      <c r="K21" s="123" t="str">
        <f t="shared" si="6"/>
        <v>○
[P・Q]
○・○</v>
      </c>
      <c r="L21" s="123" t="str">
        <f t="shared" si="7"/>
        <v/>
      </c>
      <c r="M21" s="123" t="str">
        <f t="shared" si="8"/>
        <v/>
      </c>
      <c r="N21" s="123" t="str">
        <f t="shared" si="9"/>
        <v/>
      </c>
      <c r="O21" s="123" t="str">
        <f t="shared" si="10"/>
        <v/>
      </c>
      <c r="P21" s="123" t="str">
        <f t="shared" si="11"/>
        <v/>
      </c>
      <c r="Q21" s="123" t="str">
        <f t="shared" si="12"/>
        <v/>
      </c>
      <c r="R21" s="76">
        <f t="shared" si="13"/>
        <v>0.83333333333333337</v>
      </c>
      <c r="S21" s="4">
        <v>5</v>
      </c>
      <c r="T21" s="4">
        <v>4</v>
      </c>
      <c r="U21" s="4">
        <v>4</v>
      </c>
      <c r="V21" s="4">
        <v>5</v>
      </c>
      <c r="W21" s="77">
        <f t="shared" si="14"/>
        <v>25</v>
      </c>
      <c r="X21" s="77">
        <f t="shared" si="15"/>
        <v>18.75</v>
      </c>
      <c r="Y21" s="77" cm="1">
        <f t="array" ref="Y21">_xlfn.IFS(R21&gt;=0.8,5,R21&gt;=0.6,3,R21&gt;=0.2,1,R21&lt;0.2,0)</f>
        <v>5</v>
      </c>
      <c r="Z21" s="55">
        <f t="shared" si="46"/>
        <v>66.75</v>
      </c>
      <c r="AA21" s="130" t="s">
        <v>359</v>
      </c>
      <c r="AB21" s="199" t="s">
        <v>360</v>
      </c>
      <c r="AC21" s="80" t="s">
        <v>251</v>
      </c>
      <c r="AD21" s="5" t="s">
        <v>361</v>
      </c>
      <c r="AE21" s="142"/>
      <c r="AF21" s="5" t="s">
        <v>362</v>
      </c>
      <c r="AG21" s="310">
        <f>TaskEndDay!H15</f>
        <v>0.83333333333333337</v>
      </c>
      <c r="AH21" s="205">
        <f t="shared" si="51"/>
        <v>0.83513429522752514</v>
      </c>
      <c r="AI21" s="206">
        <f t="shared" si="52"/>
        <v>6.4549086648763234</v>
      </c>
      <c r="AJ21" s="80" t="str">
        <f t="shared" si="18"/>
        <v>HIGH</v>
      </c>
      <c r="AK21" s="80" t="str">
        <f t="shared" si="19"/>
        <v>HIGH</v>
      </c>
      <c r="AL21" s="239" t="s">
        <v>363</v>
      </c>
      <c r="AM21" s="5" t="s">
        <v>364</v>
      </c>
      <c r="AN21" s="126" t="str">
        <f>IF(AND(Z21&gt;Summary!$C$5, Z21&lt;=Summary!$D$5),Summary!$B$5,IF(AND(Z21&gt;Summary!$C$6, Z21&lt;=Summary!$D$6),Summary!$B$6,IF(AND(Z21&gt;Summary!$C$7, Z21&lt;=Summary!$D$7),Summary!$B$7,Summary!$B$8)))</f>
        <v>○</v>
      </c>
      <c r="AO21" s="14" t="s">
        <v>168</v>
      </c>
      <c r="AP21" s="14"/>
      <c r="AQ21" s="14"/>
      <c r="AR21" s="14"/>
      <c r="AS21" s="14" t="s">
        <v>168</v>
      </c>
      <c r="AT21" s="29" t="s">
        <v>231</v>
      </c>
      <c r="AU21" s="36" t="s">
        <v>365</v>
      </c>
      <c r="AV21" s="4" t="s">
        <v>168</v>
      </c>
      <c r="AW21" s="6">
        <v>22.7</v>
      </c>
      <c r="AX21" s="6">
        <v>25.5</v>
      </c>
      <c r="AY21" s="33">
        <f t="shared" si="20"/>
        <v>0.8901960784313725</v>
      </c>
      <c r="AZ21" s="42">
        <v>0.38900000000000001</v>
      </c>
      <c r="BA21" s="3">
        <v>2</v>
      </c>
      <c r="BB21" s="37">
        <f t="shared" si="21"/>
        <v>5.1413881748071981</v>
      </c>
      <c r="BC21" s="3">
        <v>2</v>
      </c>
      <c r="BD21" s="3">
        <v>2</v>
      </c>
      <c r="BE21" s="36" t="s">
        <v>366</v>
      </c>
      <c r="BF21" s="4" t="s">
        <v>168</v>
      </c>
      <c r="BG21" s="6">
        <v>10.5</v>
      </c>
      <c r="BH21" s="6">
        <v>21</v>
      </c>
      <c r="BI21" s="33">
        <f t="shared" si="22"/>
        <v>0.5</v>
      </c>
      <c r="BJ21" s="42">
        <v>0.23400000000000001</v>
      </c>
      <c r="BK21" s="3">
        <v>4</v>
      </c>
      <c r="BL21" s="37">
        <f t="shared" si="23"/>
        <v>17.094017094017094</v>
      </c>
      <c r="BM21" s="3">
        <v>4</v>
      </c>
      <c r="BN21" s="3">
        <v>4</v>
      </c>
      <c r="BO21" s="36" t="s">
        <v>367</v>
      </c>
      <c r="BP21" s="4" t="s">
        <v>168</v>
      </c>
      <c r="BQ21" s="6">
        <v>22.8</v>
      </c>
      <c r="BR21" s="6">
        <v>26.5</v>
      </c>
      <c r="BS21" s="33">
        <f t="shared" si="24"/>
        <v>0.86037735849056607</v>
      </c>
      <c r="BT21" s="42"/>
      <c r="BU21" s="3"/>
      <c r="BV21" s="37" t="str">
        <f t="shared" si="25"/>
        <v/>
      </c>
      <c r="BW21" s="3"/>
      <c r="BX21" s="3"/>
      <c r="BY21" s="36" t="s">
        <v>368</v>
      </c>
      <c r="BZ21" s="4"/>
      <c r="CA21" s="6">
        <v>24.2</v>
      </c>
      <c r="CB21" s="6"/>
      <c r="CC21" s="33" t="str">
        <f t="shared" si="26"/>
        <v/>
      </c>
      <c r="CD21" s="42"/>
      <c r="CE21" s="3"/>
      <c r="CF21" s="37" t="str">
        <f t="shared" si="27"/>
        <v/>
      </c>
      <c r="CG21" s="3"/>
      <c r="CH21" s="3"/>
      <c r="CI21" s="36" t="s">
        <v>369</v>
      </c>
      <c r="CJ21" s="4" t="s">
        <v>168</v>
      </c>
      <c r="CK21" s="6">
        <v>22.8</v>
      </c>
      <c r="CL21" s="6">
        <v>22.5</v>
      </c>
      <c r="CM21" s="33">
        <f t="shared" si="28"/>
        <v>1.0133333333333334</v>
      </c>
      <c r="CN21" s="42">
        <v>0.374</v>
      </c>
      <c r="CO21" s="3">
        <v>0</v>
      </c>
      <c r="CP21" s="37">
        <f t="shared" si="29"/>
        <v>0</v>
      </c>
      <c r="CQ21" s="3">
        <v>0</v>
      </c>
      <c r="CR21" s="3">
        <v>0</v>
      </c>
      <c r="CS21" s="36" t="s">
        <v>370</v>
      </c>
      <c r="CT21" s="4" t="s">
        <v>168</v>
      </c>
      <c r="CU21" s="6">
        <v>15.5</v>
      </c>
      <c r="CV21" s="6">
        <v>17</v>
      </c>
      <c r="CW21" s="33">
        <f t="shared" si="30"/>
        <v>0.91176470588235292</v>
      </c>
      <c r="CX21" s="42">
        <v>0.27900000000000003</v>
      </c>
      <c r="CY21" s="3">
        <v>1</v>
      </c>
      <c r="CZ21" s="37">
        <f t="shared" si="31"/>
        <v>3.5842293906810032</v>
      </c>
      <c r="DA21" s="3">
        <v>1</v>
      </c>
      <c r="DB21" s="3">
        <v>1</v>
      </c>
      <c r="DC21" s="4"/>
      <c r="DD21" s="4"/>
      <c r="DE21" s="6"/>
      <c r="DF21" s="6"/>
      <c r="DG21" s="33" t="str">
        <f t="shared" si="32"/>
        <v/>
      </c>
      <c r="DH21" s="42"/>
      <c r="DI21" s="3"/>
      <c r="DJ21" s="37" t="str">
        <f t="shared" si="33"/>
        <v/>
      </c>
      <c r="DK21" s="3"/>
      <c r="DL21" s="3"/>
      <c r="DM21" s="4"/>
      <c r="DN21" s="4"/>
      <c r="DO21" s="6"/>
      <c r="DP21" s="6"/>
      <c r="DQ21" s="33" t="str">
        <f t="shared" si="34"/>
        <v/>
      </c>
      <c r="DR21" s="42"/>
      <c r="DS21" s="3"/>
      <c r="DT21" s="37" t="str">
        <f t="shared" si="35"/>
        <v/>
      </c>
      <c r="DU21" s="3"/>
      <c r="DV21" s="3"/>
      <c r="DW21" s="4"/>
      <c r="DX21" s="4"/>
      <c r="DY21" s="6"/>
      <c r="DZ21" s="6"/>
      <c r="EA21" s="33" t="str">
        <f t="shared" si="36"/>
        <v/>
      </c>
      <c r="EB21" s="42"/>
      <c r="EC21" s="3"/>
      <c r="ED21" s="37" t="str">
        <f t="shared" si="37"/>
        <v/>
      </c>
      <c r="EE21" s="3"/>
      <c r="EF21" s="3"/>
      <c r="EG21" s="4"/>
      <c r="EH21" s="4"/>
      <c r="EI21" s="6"/>
      <c r="EJ21" s="6"/>
      <c r="EK21" s="33" t="str">
        <f t="shared" si="38"/>
        <v/>
      </c>
      <c r="EL21" s="42"/>
      <c r="EM21" s="3"/>
      <c r="EN21" s="37" t="str">
        <f t="shared" si="39"/>
        <v/>
      </c>
      <c r="EO21" s="3"/>
      <c r="EP21" s="3"/>
      <c r="EQ21" s="4"/>
      <c r="ER21" s="4"/>
      <c r="ES21" s="6"/>
      <c r="ET21" s="6"/>
      <c r="EU21" s="33" t="str">
        <f t="shared" si="40"/>
        <v/>
      </c>
      <c r="EV21" s="42"/>
      <c r="EW21" s="3"/>
      <c r="EX21" s="37" t="str">
        <f t="shared" si="41"/>
        <v/>
      </c>
      <c r="EY21" s="3"/>
      <c r="EZ21" s="3"/>
      <c r="FA21" s="4"/>
      <c r="FB21" s="4"/>
      <c r="FC21" s="6"/>
      <c r="FD21" s="6"/>
      <c r="FE21" s="33" t="str">
        <f t="shared" si="42"/>
        <v/>
      </c>
      <c r="FF21" s="42"/>
      <c r="FG21" s="3"/>
      <c r="FH21" s="37" t="str">
        <f t="shared" si="43"/>
        <v/>
      </c>
      <c r="FI21" s="3"/>
      <c r="FJ21" s="3"/>
      <c r="FM21" s="54">
        <f t="shared" si="49"/>
        <v>1.276</v>
      </c>
      <c r="FN21" s="54">
        <f t="shared" si="50"/>
        <v>7</v>
      </c>
      <c r="FO21" s="471">
        <f t="shared" si="44"/>
        <v>118.5</v>
      </c>
      <c r="FP21" s="471">
        <f t="shared" si="45"/>
        <v>112.5</v>
      </c>
    </row>
    <row r="22" spans="2:172" ht="153.94999999999999">
      <c r="B22" s="3" t="s">
        <v>371</v>
      </c>
      <c r="C22" s="3" t="s">
        <v>223</v>
      </c>
      <c r="D22" s="28" t="s">
        <v>224</v>
      </c>
      <c r="E22" s="4">
        <v>6</v>
      </c>
      <c r="F22" s="123" t="str">
        <f t="shared" si="1"/>
        <v>○
[P・Q]
○・○</v>
      </c>
      <c r="G22" s="123" t="str">
        <f t="shared" si="2"/>
        <v>○
[P・Q]
○・○</v>
      </c>
      <c r="H22" s="123" t="str">
        <f t="shared" si="3"/>
        <v>○
[P・Q]
○・○</v>
      </c>
      <c r="I22" s="123" t="str">
        <f t="shared" si="4"/>
        <v>○
[P・Q]
○・○</v>
      </c>
      <c r="J22" s="123" t="str">
        <f t="shared" si="5"/>
        <v>○
[P・Q]
○・○</v>
      </c>
      <c r="K22" s="123" t="str">
        <f t="shared" si="6"/>
        <v>×
[P・Q]
--・--</v>
      </c>
      <c r="L22" s="123" t="str">
        <f t="shared" si="7"/>
        <v/>
      </c>
      <c r="M22" s="123" t="str">
        <f t="shared" si="8"/>
        <v/>
      </c>
      <c r="N22" s="123" t="str">
        <f t="shared" si="9"/>
        <v/>
      </c>
      <c r="O22" s="123" t="str">
        <f t="shared" si="10"/>
        <v/>
      </c>
      <c r="P22" s="123" t="str">
        <f t="shared" si="11"/>
        <v/>
      </c>
      <c r="Q22" s="123" t="str">
        <f t="shared" si="12"/>
        <v/>
      </c>
      <c r="R22" s="76">
        <f t="shared" si="13"/>
        <v>0.83333333333333337</v>
      </c>
      <c r="S22" s="4">
        <v>5</v>
      </c>
      <c r="T22" s="4">
        <v>3</v>
      </c>
      <c r="U22" s="4">
        <v>5</v>
      </c>
      <c r="V22" s="4">
        <v>5</v>
      </c>
      <c r="W22" s="77">
        <f t="shared" si="14"/>
        <v>31.25</v>
      </c>
      <c r="X22" s="77">
        <f t="shared" si="15"/>
        <v>31.25</v>
      </c>
      <c r="Y22" s="77" cm="1">
        <f t="array" ref="Y22">_xlfn.IFS(R22&gt;=0.8,5,R22&gt;=0.6,3,R22&gt;=0.2,1,R22&lt;0.2,0)</f>
        <v>5</v>
      </c>
      <c r="Z22" s="55">
        <f>SUM(S22:Y22)</f>
        <v>85.5</v>
      </c>
      <c r="AA22" s="130" t="s">
        <v>372</v>
      </c>
      <c r="AB22" s="129" t="s">
        <v>373</v>
      </c>
      <c r="AC22" s="100" t="s">
        <v>251</v>
      </c>
      <c r="AD22" s="99" t="s">
        <v>374</v>
      </c>
      <c r="AE22" s="129"/>
      <c r="AF22" s="129" t="s">
        <v>375</v>
      </c>
      <c r="AG22" s="310">
        <f>TaskEndDay!H16</f>
        <v>0.83333333333333337</v>
      </c>
      <c r="AH22" s="205">
        <f t="shared" si="16"/>
        <v>0.90722981512922085</v>
      </c>
      <c r="AI22" s="206">
        <f t="shared" si="17"/>
        <v>2.4226368584273503</v>
      </c>
      <c r="AJ22" s="80" t="str">
        <f t="shared" si="18"/>
        <v>HIGH</v>
      </c>
      <c r="AK22" s="80" t="str">
        <f t="shared" si="19"/>
        <v>HIGH</v>
      </c>
      <c r="AL22" s="239" t="s">
        <v>376</v>
      </c>
      <c r="AM22" s="5" t="s">
        <v>230</v>
      </c>
      <c r="AN22" s="126" t="str">
        <f>IF(AND(Z22&gt;Summary!$C$5, Z22&lt;=Summary!$D$5),Summary!$B$5,IF(AND(Z22&gt;Summary!$C$6, Z22&lt;=Summary!$D$6),Summary!$B$6,IF(AND(Z22&gt;Summary!$C$7, Z22&lt;=Summary!$D$7),Summary!$B$7,Summary!$B$8)))</f>
        <v>◎</v>
      </c>
      <c r="AO22" s="14" t="s">
        <v>168</v>
      </c>
      <c r="AP22" s="14"/>
      <c r="AQ22" s="14"/>
      <c r="AR22" s="14" t="s">
        <v>168</v>
      </c>
      <c r="AS22" s="14"/>
      <c r="AT22" s="29" t="s">
        <v>231</v>
      </c>
      <c r="AU22" s="36" t="s">
        <v>377</v>
      </c>
      <c r="AV22" s="4" t="s">
        <v>168</v>
      </c>
      <c r="AW22" s="6">
        <v>23</v>
      </c>
      <c r="AX22" s="6">
        <v>36</v>
      </c>
      <c r="AY22" s="33">
        <f t="shared" si="20"/>
        <v>0.63888888888888884</v>
      </c>
      <c r="AZ22" s="42">
        <v>0.86099999999999999</v>
      </c>
      <c r="BA22" s="3">
        <v>6</v>
      </c>
      <c r="BB22" s="37">
        <f t="shared" si="21"/>
        <v>6.9686411149825789</v>
      </c>
      <c r="BC22" s="3">
        <v>6</v>
      </c>
      <c r="BD22" s="3">
        <v>6</v>
      </c>
      <c r="BE22" s="36" t="s">
        <v>378</v>
      </c>
      <c r="BF22" s="4" t="s">
        <v>168</v>
      </c>
      <c r="BG22" s="6">
        <v>22.8</v>
      </c>
      <c r="BH22" s="6">
        <v>31</v>
      </c>
      <c r="BI22" s="33">
        <f t="shared" si="22"/>
        <v>0.73548387096774193</v>
      </c>
      <c r="BJ22" s="42">
        <v>6.2859999999999996</v>
      </c>
      <c r="BK22" s="3">
        <v>5</v>
      </c>
      <c r="BL22" s="37">
        <f t="shared" si="23"/>
        <v>0.79541839007317849</v>
      </c>
      <c r="BM22" s="3">
        <v>5</v>
      </c>
      <c r="BN22" s="3">
        <v>5</v>
      </c>
      <c r="BO22" s="36" t="s">
        <v>379</v>
      </c>
      <c r="BP22" s="4" t="s">
        <v>168</v>
      </c>
      <c r="BQ22" s="6">
        <v>25.3</v>
      </c>
      <c r="BR22" s="6">
        <v>27.5</v>
      </c>
      <c r="BS22" s="33">
        <f t="shared" si="24"/>
        <v>0.92</v>
      </c>
      <c r="BT22" s="42">
        <v>7.1239999999999997</v>
      </c>
      <c r="BU22" s="3">
        <v>1</v>
      </c>
      <c r="BV22" s="37">
        <f t="shared" si="25"/>
        <v>0.14037057832678271</v>
      </c>
      <c r="BW22" s="3">
        <v>1</v>
      </c>
      <c r="BX22" s="3">
        <v>1</v>
      </c>
      <c r="BY22" s="36" t="s">
        <v>380</v>
      </c>
      <c r="BZ22" s="4" t="s">
        <v>168</v>
      </c>
      <c r="CA22" s="6">
        <v>15.4</v>
      </c>
      <c r="CB22" s="6">
        <v>19</v>
      </c>
      <c r="CC22" s="33">
        <f t="shared" si="26"/>
        <v>0.81052631578947365</v>
      </c>
      <c r="CD22" s="42">
        <v>0.13500000000000001</v>
      </c>
      <c r="CE22" s="3">
        <v>0</v>
      </c>
      <c r="CF22" s="37">
        <f t="shared" si="27"/>
        <v>0</v>
      </c>
      <c r="CG22" s="3">
        <v>0</v>
      </c>
      <c r="CH22" s="3">
        <v>0</v>
      </c>
      <c r="CI22" s="36" t="s">
        <v>381</v>
      </c>
      <c r="CJ22" s="4" t="s">
        <v>168</v>
      </c>
      <c r="CK22" s="6">
        <v>22.9</v>
      </c>
      <c r="CL22" s="6">
        <v>16</v>
      </c>
      <c r="CM22" s="33">
        <f t="shared" si="28"/>
        <v>1.4312499999999999</v>
      </c>
      <c r="CN22" s="42">
        <v>1.1879999999999999</v>
      </c>
      <c r="CO22" s="3">
        <v>5</v>
      </c>
      <c r="CP22" s="37">
        <f t="shared" si="29"/>
        <v>4.2087542087542094</v>
      </c>
      <c r="CQ22" s="3">
        <v>5</v>
      </c>
      <c r="CR22" s="3">
        <v>5</v>
      </c>
      <c r="CS22" s="36" t="s">
        <v>382</v>
      </c>
      <c r="CT22" s="4"/>
      <c r="CU22" s="6">
        <v>15.6</v>
      </c>
      <c r="CV22" s="6"/>
      <c r="CW22" s="33" t="str">
        <f t="shared" si="30"/>
        <v/>
      </c>
      <c r="CX22" s="42"/>
      <c r="CY22" s="3"/>
      <c r="CZ22" s="37" t="str">
        <f t="shared" si="31"/>
        <v/>
      </c>
      <c r="DA22" s="3"/>
      <c r="DB22" s="3"/>
      <c r="DC22" s="4"/>
      <c r="DD22" s="4"/>
      <c r="DE22" s="6"/>
      <c r="DF22" s="6"/>
      <c r="DG22" s="33" t="str">
        <f t="shared" si="32"/>
        <v/>
      </c>
      <c r="DH22" s="42"/>
      <c r="DI22" s="3"/>
      <c r="DJ22" s="37" t="str">
        <f t="shared" si="33"/>
        <v/>
      </c>
      <c r="DK22" s="3"/>
      <c r="DL22" s="3"/>
      <c r="DM22" s="4"/>
      <c r="DN22" s="4"/>
      <c r="DO22" s="6"/>
      <c r="DP22" s="6"/>
      <c r="DQ22" s="33" t="str">
        <f t="shared" si="34"/>
        <v/>
      </c>
      <c r="DR22" s="42"/>
      <c r="DS22" s="3"/>
      <c r="DT22" s="37" t="str">
        <f t="shared" si="35"/>
        <v/>
      </c>
      <c r="DU22" s="3"/>
      <c r="DV22" s="3"/>
      <c r="DW22" s="4"/>
      <c r="DX22" s="4"/>
      <c r="DY22" s="6"/>
      <c r="DZ22" s="6"/>
      <c r="EA22" s="33" t="str">
        <f t="shared" si="36"/>
        <v/>
      </c>
      <c r="EB22" s="42"/>
      <c r="EC22" s="3"/>
      <c r="ED22" s="37" t="str">
        <f t="shared" si="37"/>
        <v/>
      </c>
      <c r="EE22" s="3"/>
      <c r="EF22" s="3"/>
      <c r="EG22" s="4"/>
      <c r="EH22" s="4"/>
      <c r="EI22" s="6"/>
      <c r="EJ22" s="6"/>
      <c r="EK22" s="33" t="str">
        <f t="shared" si="38"/>
        <v/>
      </c>
      <c r="EL22" s="42"/>
      <c r="EM22" s="3"/>
      <c r="EN22" s="37" t="str">
        <f t="shared" si="39"/>
        <v/>
      </c>
      <c r="EO22" s="3"/>
      <c r="EP22" s="3"/>
      <c r="EQ22" s="4"/>
      <c r="ER22" s="4"/>
      <c r="ES22" s="6"/>
      <c r="ET22" s="6"/>
      <c r="EU22" s="33" t="str">
        <f t="shared" si="40"/>
        <v/>
      </c>
      <c r="EV22" s="42"/>
      <c r="EW22" s="3"/>
      <c r="EX22" s="37" t="str">
        <f t="shared" si="41"/>
        <v/>
      </c>
      <c r="EY22" s="3"/>
      <c r="EZ22" s="3"/>
      <c r="FA22" s="4"/>
      <c r="FB22" s="4"/>
      <c r="FC22" s="6"/>
      <c r="FD22" s="6"/>
      <c r="FE22" s="33" t="str">
        <f t="shared" si="42"/>
        <v/>
      </c>
      <c r="FF22" s="42"/>
      <c r="FG22" s="3"/>
      <c r="FH22" s="37" t="str">
        <f t="shared" si="43"/>
        <v/>
      </c>
      <c r="FI22" s="3"/>
      <c r="FJ22" s="3"/>
      <c r="FM22" s="54">
        <f t="shared" si="49"/>
        <v>15.593999999999999</v>
      </c>
      <c r="FN22" s="54">
        <f t="shared" si="50"/>
        <v>17</v>
      </c>
      <c r="FO22" s="471">
        <f t="shared" si="44"/>
        <v>125</v>
      </c>
      <c r="FP22" s="471">
        <f t="shared" si="45"/>
        <v>129.5</v>
      </c>
    </row>
    <row r="23" spans="2:172" ht="110.1">
      <c r="B23" s="27" t="s">
        <v>383</v>
      </c>
      <c r="C23" s="27" t="s">
        <v>384</v>
      </c>
      <c r="D23" s="28" t="s">
        <v>224</v>
      </c>
      <c r="E23" s="4">
        <v>6</v>
      </c>
      <c r="F23" s="123" t="str">
        <f t="shared" si="1"/>
        <v>○
[P・Q]
○・○</v>
      </c>
      <c r="G23" s="123" t="str">
        <f t="shared" si="2"/>
        <v>○
[P・Q]
○・○</v>
      </c>
      <c r="H23" s="123" t="str">
        <f t="shared" si="3"/>
        <v>○
[P・Q]
○・○</v>
      </c>
      <c r="I23" s="123" t="str">
        <f t="shared" si="4"/>
        <v>○
[P・Q]
○・○</v>
      </c>
      <c r="J23" s="123" t="str">
        <f t="shared" si="5"/>
        <v>○
[P・Q]
○・○</v>
      </c>
      <c r="K23" s="123" t="str">
        <f t="shared" si="6"/>
        <v>○
[P・Q]
○・○</v>
      </c>
      <c r="L23" s="123" t="str">
        <f t="shared" si="7"/>
        <v/>
      </c>
      <c r="M23" s="123" t="str">
        <f t="shared" si="8"/>
        <v/>
      </c>
      <c r="N23" s="123" t="str">
        <f t="shared" si="9"/>
        <v/>
      </c>
      <c r="O23" s="123" t="str">
        <f t="shared" si="10"/>
        <v/>
      </c>
      <c r="P23" s="123" t="str">
        <f t="shared" si="11"/>
        <v/>
      </c>
      <c r="Q23" s="123" t="str">
        <f t="shared" si="12"/>
        <v/>
      </c>
      <c r="R23" s="76">
        <f t="shared" si="13"/>
        <v>1</v>
      </c>
      <c r="S23" s="4">
        <v>5</v>
      </c>
      <c r="T23" s="4">
        <v>5</v>
      </c>
      <c r="U23" s="4">
        <v>5</v>
      </c>
      <c r="V23" s="4">
        <v>5</v>
      </c>
      <c r="W23" s="77">
        <f t="shared" si="14"/>
        <v>37.5</v>
      </c>
      <c r="X23" s="77">
        <f t="shared" si="15"/>
        <v>37.5</v>
      </c>
      <c r="Y23" s="77" cm="1">
        <f t="array" ref="Y23">_xlfn.IFS(R23&gt;=0.8,5,R23&gt;=0.6,3,R23&gt;=0.2,1,R23&lt;0.2,0)</f>
        <v>5</v>
      </c>
      <c r="Z23" s="55">
        <f t="shared" si="46"/>
        <v>100</v>
      </c>
      <c r="AA23" s="220" t="s">
        <v>385</v>
      </c>
      <c r="AB23" s="5"/>
      <c r="AC23" s="80" t="s">
        <v>226</v>
      </c>
      <c r="AD23" s="5" t="s">
        <v>386</v>
      </c>
      <c r="AE23" s="5"/>
      <c r="AF23" s="5" t="s">
        <v>387</v>
      </c>
      <c r="AG23" s="310">
        <f>TaskEndDay!H17</f>
        <v>1</v>
      </c>
      <c r="AH23" s="205">
        <f t="shared" si="16"/>
        <v>1.2695430195227355</v>
      </c>
      <c r="AI23" s="206">
        <f t="shared" si="17"/>
        <v>3.2063377858332829</v>
      </c>
      <c r="AJ23" s="80" t="str">
        <f t="shared" si="18"/>
        <v>HIGH</v>
      </c>
      <c r="AK23" s="80" t="str">
        <f t="shared" si="19"/>
        <v>HIGH</v>
      </c>
      <c r="AL23" s="281" t="s">
        <v>388</v>
      </c>
      <c r="AM23" s="5" t="s">
        <v>230</v>
      </c>
      <c r="AN23" s="126" t="str">
        <f>IF(AND(Z23&gt;Summary!$C$5, Z23&lt;=Summary!$D$5),Summary!$B$5,IF(AND(Z23&gt;Summary!$C$6, Z23&lt;=Summary!$D$6),Summary!$B$6,IF(AND(Z23&gt;Summary!$C$7, Z23&lt;=Summary!$D$7),Summary!$B$7,Summary!$B$8)))</f>
        <v>◎</v>
      </c>
      <c r="AO23" s="14" t="s">
        <v>389</v>
      </c>
      <c r="AP23" s="14"/>
      <c r="AQ23" s="14"/>
      <c r="AR23" s="14" t="s">
        <v>168</v>
      </c>
      <c r="AS23" s="14"/>
      <c r="AT23" s="5" t="s">
        <v>390</v>
      </c>
      <c r="AU23" s="36" t="s">
        <v>391</v>
      </c>
      <c r="AV23" s="4" t="s">
        <v>168</v>
      </c>
      <c r="AW23" s="6">
        <v>23</v>
      </c>
      <c r="AX23" s="6">
        <v>29</v>
      </c>
      <c r="AY23" s="33">
        <f t="shared" si="20"/>
        <v>0.7931034482758621</v>
      </c>
      <c r="AZ23" s="42">
        <v>1.5409999999999999</v>
      </c>
      <c r="BA23" s="3">
        <v>8</v>
      </c>
      <c r="BB23" s="37">
        <f>IF(BA23="","",BA23/AZ23)</f>
        <v>5.1914341336794294</v>
      </c>
      <c r="BC23" s="3">
        <v>8</v>
      </c>
      <c r="BD23" s="3">
        <v>8</v>
      </c>
      <c r="BE23" s="36" t="s">
        <v>392</v>
      </c>
      <c r="BF23" s="4" t="s">
        <v>168</v>
      </c>
      <c r="BG23" s="6">
        <v>22.7</v>
      </c>
      <c r="BH23" s="6">
        <v>17</v>
      </c>
      <c r="BI23" s="33">
        <f t="shared" si="22"/>
        <v>1.3352941176470587</v>
      </c>
      <c r="BJ23" s="42">
        <v>0.39700000000000002</v>
      </c>
      <c r="BK23" s="3">
        <v>3</v>
      </c>
      <c r="BL23" s="37">
        <f t="shared" si="23"/>
        <v>7.5566750629722916</v>
      </c>
      <c r="BM23" s="3">
        <v>3</v>
      </c>
      <c r="BN23" s="3">
        <v>3</v>
      </c>
      <c r="BO23" s="36" t="s">
        <v>393</v>
      </c>
      <c r="BP23" s="4" t="s">
        <v>168</v>
      </c>
      <c r="BQ23" s="6">
        <v>22.7</v>
      </c>
      <c r="BR23" s="6">
        <v>17</v>
      </c>
      <c r="BS23" s="33">
        <f t="shared" si="24"/>
        <v>1.3352941176470587</v>
      </c>
      <c r="BT23" s="42">
        <v>0.32100000000000001</v>
      </c>
      <c r="BU23" s="3">
        <v>0</v>
      </c>
      <c r="BV23" s="37">
        <f t="shared" si="25"/>
        <v>0</v>
      </c>
      <c r="BW23" s="3">
        <v>0</v>
      </c>
      <c r="BX23" s="3">
        <v>0</v>
      </c>
      <c r="BY23" s="36" t="s">
        <v>394</v>
      </c>
      <c r="BZ23" s="4" t="s">
        <v>168</v>
      </c>
      <c r="CA23" s="6">
        <v>15.6</v>
      </c>
      <c r="CB23" s="6">
        <v>11</v>
      </c>
      <c r="CC23" s="33">
        <f t="shared" si="26"/>
        <v>1.4181818181818182</v>
      </c>
      <c r="CD23" s="42">
        <v>0.55300000000000005</v>
      </c>
      <c r="CE23" s="3">
        <v>3</v>
      </c>
      <c r="CF23" s="37">
        <f t="shared" si="27"/>
        <v>5.4249547920433994</v>
      </c>
      <c r="CG23" s="3">
        <v>3</v>
      </c>
      <c r="CH23" s="3">
        <v>3</v>
      </c>
      <c r="CI23" s="36" t="s">
        <v>395</v>
      </c>
      <c r="CJ23" s="4" t="s">
        <v>168</v>
      </c>
      <c r="CK23" s="6">
        <v>22.8</v>
      </c>
      <c r="CL23" s="6">
        <v>15</v>
      </c>
      <c r="CM23" s="33">
        <f>IF(CL23="","",CK23/CL23)</f>
        <v>1.52</v>
      </c>
      <c r="CN23" s="42">
        <v>0.93899999999999995</v>
      </c>
      <c r="CO23" s="3">
        <v>1</v>
      </c>
      <c r="CP23" s="37">
        <f t="shared" si="29"/>
        <v>1.0649627263045793</v>
      </c>
      <c r="CQ23" s="3">
        <v>1</v>
      </c>
      <c r="CR23" s="3">
        <v>1</v>
      </c>
      <c r="CS23" s="36" t="s">
        <v>396</v>
      </c>
      <c r="CT23" s="4" t="s">
        <v>168</v>
      </c>
      <c r="CU23" s="6">
        <v>15.8</v>
      </c>
      <c r="CV23" s="6">
        <v>13</v>
      </c>
      <c r="CW23" s="33">
        <f t="shared" si="30"/>
        <v>1.2153846153846155</v>
      </c>
      <c r="CX23" s="42">
        <v>0.497</v>
      </c>
      <c r="CY23" s="3">
        <v>0</v>
      </c>
      <c r="CZ23" s="37">
        <f t="shared" si="31"/>
        <v>0</v>
      </c>
      <c r="DA23" s="3">
        <v>0</v>
      </c>
      <c r="DB23" s="3">
        <v>0</v>
      </c>
      <c r="DC23" s="4"/>
      <c r="DD23" s="4"/>
      <c r="DE23" s="6"/>
      <c r="DF23" s="6"/>
      <c r="DG23" s="33" t="str">
        <f t="shared" si="32"/>
        <v/>
      </c>
      <c r="DH23" s="42"/>
      <c r="DI23" s="3"/>
      <c r="DJ23" s="37" t="str">
        <f t="shared" si="33"/>
        <v/>
      </c>
      <c r="DK23" s="3"/>
      <c r="DL23" s="3"/>
      <c r="DM23" s="4"/>
      <c r="DN23" s="4"/>
      <c r="DO23" s="6"/>
      <c r="DP23" s="6"/>
      <c r="DQ23" s="33" t="str">
        <f t="shared" si="34"/>
        <v/>
      </c>
      <c r="DR23" s="42"/>
      <c r="DS23" s="3"/>
      <c r="DT23" s="37" t="str">
        <f t="shared" si="35"/>
        <v/>
      </c>
      <c r="DU23" s="3"/>
      <c r="DV23" s="3"/>
      <c r="DW23" s="4"/>
      <c r="DX23" s="4"/>
      <c r="DY23" s="6"/>
      <c r="DZ23" s="6"/>
      <c r="EA23" s="33" t="str">
        <f t="shared" si="36"/>
        <v/>
      </c>
      <c r="EB23" s="42"/>
      <c r="EC23" s="3"/>
      <c r="ED23" s="37" t="str">
        <f t="shared" si="37"/>
        <v/>
      </c>
      <c r="EE23" s="3"/>
      <c r="EF23" s="3"/>
      <c r="EG23" s="4"/>
      <c r="EH23" s="4"/>
      <c r="EI23" s="6"/>
      <c r="EJ23" s="6"/>
      <c r="EK23" s="33" t="str">
        <f t="shared" si="38"/>
        <v/>
      </c>
      <c r="EL23" s="42"/>
      <c r="EM23" s="3"/>
      <c r="EN23" s="37" t="str">
        <f t="shared" si="39"/>
        <v/>
      </c>
      <c r="EO23" s="3"/>
      <c r="EP23" s="3"/>
      <c r="EQ23" s="4"/>
      <c r="ER23" s="4"/>
      <c r="ES23" s="6"/>
      <c r="ET23" s="6"/>
      <c r="EU23" s="33" t="str">
        <f t="shared" si="40"/>
        <v/>
      </c>
      <c r="EV23" s="42"/>
      <c r="EW23" s="3"/>
      <c r="EX23" s="37" t="str">
        <f t="shared" si="41"/>
        <v/>
      </c>
      <c r="EY23" s="3"/>
      <c r="EZ23" s="3"/>
      <c r="FA23" s="4"/>
      <c r="FB23" s="4"/>
      <c r="FC23" s="6"/>
      <c r="FD23" s="6"/>
      <c r="FE23" s="33" t="str">
        <f t="shared" si="42"/>
        <v/>
      </c>
      <c r="FF23" s="42"/>
      <c r="FG23" s="3"/>
      <c r="FH23" s="37" t="str">
        <f t="shared" si="43"/>
        <v/>
      </c>
      <c r="FI23" s="3"/>
      <c r="FJ23" s="3"/>
      <c r="FM23" s="54">
        <f t="shared" si="49"/>
        <v>4.2479999999999993</v>
      </c>
      <c r="FN23" s="54">
        <f t="shared" si="50"/>
        <v>15</v>
      </c>
      <c r="FO23" s="471">
        <f t="shared" si="44"/>
        <v>122.60000000000001</v>
      </c>
      <c r="FP23" s="471">
        <f t="shared" si="45"/>
        <v>102</v>
      </c>
    </row>
    <row r="24" spans="2:172" ht="374.1">
      <c r="B24" s="3" t="s">
        <v>397</v>
      </c>
      <c r="C24" s="3" t="s">
        <v>223</v>
      </c>
      <c r="D24" s="28" t="s">
        <v>224</v>
      </c>
      <c r="E24" s="4">
        <v>7</v>
      </c>
      <c r="F24" s="123" t="str">
        <f t="shared" si="1"/>
        <v>○
[P・Q]
○・○</v>
      </c>
      <c r="G24" s="123" t="str">
        <f t="shared" si="2"/>
        <v>×
[P・Q]
×・×</v>
      </c>
      <c r="H24" s="123" t="str">
        <f t="shared" si="3"/>
        <v>○
[P・Q]
○・○</v>
      </c>
      <c r="I24" s="123" t="str">
        <f t="shared" si="4"/>
        <v>○
[P・Q]
○・○</v>
      </c>
      <c r="J24" s="123" t="str">
        <f t="shared" si="5"/>
        <v>×
[P・Q]
○・×</v>
      </c>
      <c r="K24" s="123" t="str">
        <f t="shared" si="6"/>
        <v>○
[P・Q]
○・○</v>
      </c>
      <c r="L24" s="123" t="str">
        <f t="shared" si="7"/>
        <v>○
[P・Q]
○・○</v>
      </c>
      <c r="M24" s="123" t="str">
        <f t="shared" si="8"/>
        <v/>
      </c>
      <c r="N24" s="123" t="str">
        <f t="shared" si="9"/>
        <v/>
      </c>
      <c r="O24" s="123" t="str">
        <f t="shared" si="10"/>
        <v/>
      </c>
      <c r="P24" s="123" t="str">
        <f t="shared" si="11"/>
        <v/>
      </c>
      <c r="Q24" s="123" t="str">
        <f t="shared" si="12"/>
        <v/>
      </c>
      <c r="R24" s="76">
        <f t="shared" si="13"/>
        <v>1</v>
      </c>
      <c r="S24" s="4">
        <v>5</v>
      </c>
      <c r="T24" s="4">
        <v>5</v>
      </c>
      <c r="U24" s="4">
        <v>5</v>
      </c>
      <c r="V24" s="4">
        <v>5</v>
      </c>
      <c r="W24" s="77">
        <f t="shared" si="14"/>
        <v>32.142857142857139</v>
      </c>
      <c r="X24" s="77">
        <f t="shared" si="15"/>
        <v>26.785714285714285</v>
      </c>
      <c r="Y24" s="77" cm="1">
        <f t="array" ref="Y24">_xlfn.IFS(R24&gt;=0.8,5,R24&gt;=0.6,3,R24&gt;=0.2,1,R24&lt;0.2,0)</f>
        <v>5</v>
      </c>
      <c r="Z24" s="55">
        <f>SUM(S24:Y24)</f>
        <v>83.928571428571416</v>
      </c>
      <c r="AA24" s="130" t="s">
        <v>398</v>
      </c>
      <c r="AB24" s="221"/>
      <c r="AC24" s="222" t="s">
        <v>168</v>
      </c>
      <c r="AD24" s="221" t="s">
        <v>399</v>
      </c>
      <c r="AE24" s="223" t="s">
        <v>174</v>
      </c>
      <c r="AF24" s="99" t="s">
        <v>400</v>
      </c>
      <c r="AG24" s="310">
        <f>TaskEndDay!H18</f>
        <v>1</v>
      </c>
      <c r="AH24" s="205">
        <f t="shared" ref="AH24" si="53">IFERROR(AVERAGE(AY24,BI24,BS24,CC24,CM24,CW24,DG24,DQ24,EA24,EK24)," ")</f>
        <v>0.70241699918833933</v>
      </c>
      <c r="AI24" s="206">
        <f t="shared" ref="AI24" si="54">IFERROR(AVERAGE(BB24,BL24,BV24,CF24,CP24,CZ24,DJ24,DT24,ED24,EN24)," ")</f>
        <v>5.8191932669236994</v>
      </c>
      <c r="AJ24" s="80" t="str">
        <f t="shared" si="18"/>
        <v>HIGH</v>
      </c>
      <c r="AK24" s="80" t="str">
        <f t="shared" si="19"/>
        <v>HIGH</v>
      </c>
      <c r="AL24" s="5"/>
      <c r="AM24" s="99"/>
      <c r="AN24" s="126" t="str">
        <f>IF(AND(Z24&gt;Summary!$C$5, Z24&lt;=Summary!$D$5),Summary!$B$5,IF(AND(Z24&gt;Summary!$C$6, Z24&lt;=Summary!$D$6),Summary!$B$6,IF(AND(Z24&gt;Summary!$C$7, Z24&lt;=Summary!$D$7),Summary!$B$7,Summary!$B$8)))</f>
        <v>◎</v>
      </c>
      <c r="AO24" s="14" t="s">
        <v>389</v>
      </c>
      <c r="AP24" s="14"/>
      <c r="AQ24" s="14" t="s">
        <v>168</v>
      </c>
      <c r="AR24" s="315"/>
      <c r="AS24" s="315"/>
      <c r="AT24" s="5" t="s">
        <v>401</v>
      </c>
      <c r="AU24" s="36" t="s">
        <v>402</v>
      </c>
      <c r="AV24" s="4" t="s">
        <v>168</v>
      </c>
      <c r="AW24" s="6">
        <v>22.8</v>
      </c>
      <c r="AX24" s="6">
        <v>36</v>
      </c>
      <c r="AY24" s="33">
        <f t="shared" si="20"/>
        <v>0.6333333333333333</v>
      </c>
      <c r="AZ24" s="42">
        <v>1.3939999999999999</v>
      </c>
      <c r="BA24" s="3">
        <v>6</v>
      </c>
      <c r="BB24" s="37">
        <f t="shared" si="21"/>
        <v>4.3041606886657107</v>
      </c>
      <c r="BC24" s="3">
        <v>6</v>
      </c>
      <c r="BD24" s="3">
        <v>6</v>
      </c>
      <c r="BE24" s="36" t="s">
        <v>403</v>
      </c>
      <c r="BF24" s="4" t="s">
        <v>168</v>
      </c>
      <c r="BG24" s="6">
        <v>15.7</v>
      </c>
      <c r="BH24" s="6">
        <v>28.5</v>
      </c>
      <c r="BI24" s="33">
        <f t="shared" si="22"/>
        <v>0.55087719298245608</v>
      </c>
      <c r="BJ24" s="42">
        <v>0.57499999999999996</v>
      </c>
      <c r="BK24" s="3">
        <v>5</v>
      </c>
      <c r="BL24" s="37">
        <f t="shared" si="23"/>
        <v>8.6956521739130448</v>
      </c>
      <c r="BM24" s="3">
        <v>5</v>
      </c>
      <c r="BN24" s="3">
        <v>5</v>
      </c>
      <c r="BO24" s="36" t="s">
        <v>404</v>
      </c>
      <c r="BP24" s="4" t="s">
        <v>168</v>
      </c>
      <c r="BQ24" s="6">
        <v>10.6</v>
      </c>
      <c r="BR24" s="6">
        <v>17</v>
      </c>
      <c r="BS24" s="33">
        <f t="shared" si="24"/>
        <v>0.62352941176470589</v>
      </c>
      <c r="BT24" s="42">
        <v>0.251</v>
      </c>
      <c r="BU24" s="3">
        <v>2</v>
      </c>
      <c r="BV24" s="37">
        <f t="shared" si="25"/>
        <v>7.9681274900398407</v>
      </c>
      <c r="BW24" s="3">
        <v>2</v>
      </c>
      <c r="BX24" s="3">
        <v>2</v>
      </c>
      <c r="BY24" s="36" t="s">
        <v>405</v>
      </c>
      <c r="BZ24" s="4" t="s">
        <v>168</v>
      </c>
      <c r="CA24" s="6">
        <v>22.8</v>
      </c>
      <c r="CB24" s="6">
        <v>32.299999999999997</v>
      </c>
      <c r="CC24" s="33">
        <f t="shared" si="26"/>
        <v>0.70588235294117652</v>
      </c>
      <c r="CD24" s="42">
        <v>1.1180000000000001</v>
      </c>
      <c r="CE24" s="3">
        <v>4</v>
      </c>
      <c r="CF24" s="37">
        <f t="shared" si="27"/>
        <v>3.5778175313059029</v>
      </c>
      <c r="CG24" s="3">
        <v>4</v>
      </c>
      <c r="CH24" s="3">
        <v>4</v>
      </c>
      <c r="CI24" s="36" t="s">
        <v>406</v>
      </c>
      <c r="CJ24" s="4" t="s">
        <v>168</v>
      </c>
      <c r="CK24" s="6">
        <v>16</v>
      </c>
      <c r="CL24" s="6">
        <v>22.75</v>
      </c>
      <c r="CM24" s="33">
        <f t="shared" si="28"/>
        <v>0.70329670329670335</v>
      </c>
      <c r="CN24" s="42">
        <v>0.65600000000000003</v>
      </c>
      <c r="CO24" s="3">
        <v>6</v>
      </c>
      <c r="CP24" s="37">
        <f t="shared" si="29"/>
        <v>9.1463414634146343</v>
      </c>
      <c r="CQ24" s="3">
        <v>6</v>
      </c>
      <c r="CR24" s="3">
        <v>6</v>
      </c>
      <c r="CS24" s="80" t="s">
        <v>407</v>
      </c>
      <c r="CT24" s="4" t="s">
        <v>168</v>
      </c>
      <c r="CU24" s="6">
        <v>10.4</v>
      </c>
      <c r="CV24" s="6">
        <v>16</v>
      </c>
      <c r="CW24" s="33">
        <f t="shared" si="30"/>
        <v>0.65</v>
      </c>
      <c r="CX24" s="42">
        <v>0.113</v>
      </c>
      <c r="CY24" s="3">
        <v>0</v>
      </c>
      <c r="CZ24" s="37">
        <f t="shared" si="31"/>
        <v>0</v>
      </c>
      <c r="DA24" s="3">
        <v>0</v>
      </c>
      <c r="DB24" s="3">
        <v>0</v>
      </c>
      <c r="DC24" s="36" t="s">
        <v>407</v>
      </c>
      <c r="DD24" s="4" t="s">
        <v>168</v>
      </c>
      <c r="DE24" s="6">
        <v>10.5</v>
      </c>
      <c r="DF24" s="6">
        <v>10</v>
      </c>
      <c r="DG24" s="33">
        <f t="shared" si="32"/>
        <v>1.05</v>
      </c>
      <c r="DH24" s="42">
        <v>0.14199999999999999</v>
      </c>
      <c r="DI24" s="3">
        <v>1</v>
      </c>
      <c r="DJ24" s="37">
        <f t="shared" si="33"/>
        <v>7.042253521126761</v>
      </c>
      <c r="DK24" s="3">
        <v>1</v>
      </c>
      <c r="DL24" s="3">
        <v>1</v>
      </c>
      <c r="DM24" s="36"/>
      <c r="DN24" s="4"/>
      <c r="DO24" s="6"/>
      <c r="DP24" s="6"/>
      <c r="DQ24" s="33" t="str">
        <f t="shared" si="34"/>
        <v/>
      </c>
      <c r="DR24" s="42"/>
      <c r="DS24" s="3"/>
      <c r="DT24" s="37" t="str">
        <f t="shared" si="35"/>
        <v/>
      </c>
      <c r="DU24" s="3"/>
      <c r="DV24" s="3"/>
      <c r="DW24" s="4"/>
      <c r="DX24" s="4"/>
      <c r="DY24" s="6"/>
      <c r="DZ24" s="6"/>
      <c r="EA24" s="33" t="str">
        <f t="shared" si="36"/>
        <v/>
      </c>
      <c r="EB24" s="42"/>
      <c r="EC24" s="3"/>
      <c r="ED24" s="37" t="str">
        <f t="shared" si="37"/>
        <v/>
      </c>
      <c r="EE24" s="3"/>
      <c r="EF24" s="3"/>
      <c r="EG24" s="4"/>
      <c r="EH24" s="4"/>
      <c r="EI24" s="6"/>
      <c r="EJ24" s="6"/>
      <c r="EK24" s="33" t="str">
        <f t="shared" si="38"/>
        <v/>
      </c>
      <c r="EL24" s="42"/>
      <c r="EM24" s="3"/>
      <c r="EN24" s="37" t="str">
        <f t="shared" si="39"/>
        <v/>
      </c>
      <c r="EO24" s="3"/>
      <c r="EP24" s="3"/>
      <c r="EQ24" s="4"/>
      <c r="ER24" s="4"/>
      <c r="ES24" s="6"/>
      <c r="ET24" s="6"/>
      <c r="EU24" s="33" t="str">
        <f t="shared" si="40"/>
        <v/>
      </c>
      <c r="EV24" s="42"/>
      <c r="EW24" s="3"/>
      <c r="EX24" s="37" t="str">
        <f t="shared" si="41"/>
        <v/>
      </c>
      <c r="EY24" s="3"/>
      <c r="EZ24" s="3"/>
      <c r="FA24" s="4"/>
      <c r="FB24" s="4"/>
      <c r="FC24" s="6"/>
      <c r="FD24" s="6"/>
      <c r="FE24" s="33" t="str">
        <f t="shared" si="42"/>
        <v/>
      </c>
      <c r="FF24" s="42"/>
      <c r="FG24" s="3"/>
      <c r="FH24" s="37" t="str">
        <f t="shared" si="43"/>
        <v/>
      </c>
      <c r="FI24" s="3"/>
      <c r="FJ24" s="3"/>
      <c r="FM24" s="54">
        <f t="shared" si="49"/>
        <v>4.2489999999999997</v>
      </c>
      <c r="FN24" s="54">
        <f t="shared" si="50"/>
        <v>24</v>
      </c>
      <c r="FO24" s="471">
        <f t="shared" si="44"/>
        <v>108.8</v>
      </c>
      <c r="FP24" s="471">
        <f t="shared" si="45"/>
        <v>162.55000000000001</v>
      </c>
    </row>
    <row r="25" spans="2:172" ht="176.1">
      <c r="B25" s="87" t="s">
        <v>408</v>
      </c>
      <c r="C25" s="3" t="s">
        <v>287</v>
      </c>
      <c r="D25" s="28" t="s">
        <v>224</v>
      </c>
      <c r="E25" s="4">
        <v>5</v>
      </c>
      <c r="F25" s="123" t="str">
        <f t="shared" si="1"/>
        <v>○
[P・Q]
○・○</v>
      </c>
      <c r="G25" s="123" t="str">
        <f t="shared" si="2"/>
        <v>×
[P・Q]
○・×</v>
      </c>
      <c r="H25" s="123" t="str">
        <f t="shared" si="3"/>
        <v>×
[P・Q]
×・○</v>
      </c>
      <c r="I25" s="123" t="str">
        <f t="shared" si="4"/>
        <v>○
[P・Q]
○・○</v>
      </c>
      <c r="J25" s="123" t="str">
        <f t="shared" si="5"/>
        <v>○
[P・Q]
○・○</v>
      </c>
      <c r="K25" s="123" t="str">
        <f t="shared" si="6"/>
        <v/>
      </c>
      <c r="L25" s="123" t="str">
        <f t="shared" si="7"/>
        <v/>
      </c>
      <c r="M25" s="123" t="str">
        <f t="shared" si="8"/>
        <v/>
      </c>
      <c r="N25" s="123" t="str">
        <f t="shared" si="9"/>
        <v/>
      </c>
      <c r="O25" s="123" t="str">
        <f t="shared" si="10"/>
        <v/>
      </c>
      <c r="P25" s="123" t="str">
        <f t="shared" si="11"/>
        <v/>
      </c>
      <c r="Q25" s="123" t="str">
        <f t="shared" si="12"/>
        <v/>
      </c>
      <c r="R25" s="76">
        <f t="shared" si="13"/>
        <v>1</v>
      </c>
      <c r="S25" s="4">
        <v>5</v>
      </c>
      <c r="T25" s="4">
        <v>5</v>
      </c>
      <c r="U25" s="4">
        <v>3</v>
      </c>
      <c r="V25" s="4">
        <v>5</v>
      </c>
      <c r="W25" s="77">
        <f t="shared" si="14"/>
        <v>30</v>
      </c>
      <c r="X25" s="77">
        <f t="shared" si="15"/>
        <v>30</v>
      </c>
      <c r="Y25" s="77" cm="1">
        <f t="array" ref="Y25">_xlfn.IFS(R25&gt;=0.8,5,R25&gt;=0.6,3,R25&gt;=0.2,1,R25&lt;0.2,0)</f>
        <v>5</v>
      </c>
      <c r="Z25" s="55">
        <f>SUM(S25:Y25)</f>
        <v>83</v>
      </c>
      <c r="AA25" s="220" t="s">
        <v>409</v>
      </c>
      <c r="AB25" s="5" t="s">
        <v>410</v>
      </c>
      <c r="AC25" s="80" t="s">
        <v>251</v>
      </c>
      <c r="AD25" s="99" t="s">
        <v>411</v>
      </c>
      <c r="AE25" s="5"/>
      <c r="AF25" s="5" t="s">
        <v>412</v>
      </c>
      <c r="AG25" s="310">
        <f>TaskEndDay!H19</f>
        <v>1</v>
      </c>
      <c r="AH25" s="205">
        <f t="shared" si="16"/>
        <v>0.77608406922090878</v>
      </c>
      <c r="AI25" s="206">
        <f t="shared" si="17"/>
        <v>5.7154671690723156</v>
      </c>
      <c r="AJ25" s="80" t="str">
        <f t="shared" si="18"/>
        <v>HIGH</v>
      </c>
      <c r="AK25" s="80" t="str">
        <f t="shared" si="19"/>
        <v>HIGH</v>
      </c>
      <c r="AL25" s="241" t="s">
        <v>413</v>
      </c>
      <c r="AM25" s="5" t="s">
        <v>230</v>
      </c>
      <c r="AN25" s="126" t="str">
        <f>IF(AND(Z25&gt;Summary!$C$5, Z25&lt;=Summary!$D$5),Summary!$B$5,IF(AND(Z25&gt;Summary!$C$6, Z25&lt;=Summary!$D$6),Summary!$B$6,IF(AND(Z25&gt;Summary!$C$7, Z25&lt;=Summary!$D$7),Summary!$B$7,Summary!$B$8)))</f>
        <v>◎</v>
      </c>
      <c r="AO25" s="14" t="s">
        <v>168</v>
      </c>
      <c r="AP25" s="14"/>
      <c r="AQ25" s="14"/>
      <c r="AR25" s="14" t="s">
        <v>168</v>
      </c>
      <c r="AS25" s="14"/>
      <c r="AT25" s="5" t="s">
        <v>414</v>
      </c>
      <c r="AU25" s="36" t="s">
        <v>415</v>
      </c>
      <c r="AV25" s="4" t="s">
        <v>168</v>
      </c>
      <c r="AW25" s="6">
        <v>22.9</v>
      </c>
      <c r="AX25" s="6">
        <v>29.5</v>
      </c>
      <c r="AY25" s="33">
        <f t="shared" si="20"/>
        <v>0.77627118644067794</v>
      </c>
      <c r="AZ25" s="42">
        <v>0.92900000000000005</v>
      </c>
      <c r="BA25" s="3">
        <v>4</v>
      </c>
      <c r="BB25" s="37">
        <f t="shared" si="21"/>
        <v>4.3057050592034445</v>
      </c>
      <c r="BC25" s="3">
        <v>4</v>
      </c>
      <c r="BD25" s="3">
        <v>4</v>
      </c>
      <c r="BE25" s="36" t="s">
        <v>416</v>
      </c>
      <c r="BF25" s="4" t="s">
        <v>168</v>
      </c>
      <c r="BG25" s="6">
        <v>10.5</v>
      </c>
      <c r="BH25" s="6">
        <v>16</v>
      </c>
      <c r="BI25" s="33">
        <f t="shared" si="22"/>
        <v>0.65625</v>
      </c>
      <c r="BJ25" s="42">
        <v>0.10199999999999999</v>
      </c>
      <c r="BK25" s="3">
        <v>2</v>
      </c>
      <c r="BL25" s="37">
        <f t="shared" si="23"/>
        <v>19.607843137254903</v>
      </c>
      <c r="BM25" s="3">
        <v>2</v>
      </c>
      <c r="BN25" s="3">
        <v>2</v>
      </c>
      <c r="BO25" s="36" t="s">
        <v>417</v>
      </c>
      <c r="BP25" s="4" t="s">
        <v>168</v>
      </c>
      <c r="BQ25" s="6">
        <v>22.8</v>
      </c>
      <c r="BR25" s="6">
        <v>42.5</v>
      </c>
      <c r="BS25" s="33">
        <f t="shared" si="24"/>
        <v>0.53647058823529414</v>
      </c>
      <c r="BT25" s="42">
        <v>2.7370000000000001</v>
      </c>
      <c r="BU25" s="3">
        <v>9</v>
      </c>
      <c r="BV25" s="37">
        <f t="shared" si="25"/>
        <v>3.2882718304713188</v>
      </c>
      <c r="BW25" s="3">
        <v>9</v>
      </c>
      <c r="BX25" s="3">
        <v>9</v>
      </c>
      <c r="BY25" s="36" t="s">
        <v>418</v>
      </c>
      <c r="BZ25" s="4" t="s">
        <v>168</v>
      </c>
      <c r="CA25" s="6">
        <v>24.3</v>
      </c>
      <c r="CB25" s="6">
        <v>31.5</v>
      </c>
      <c r="CC25" s="33">
        <f t="shared" si="26"/>
        <v>0.77142857142857146</v>
      </c>
      <c r="CD25" s="42">
        <v>4.3620000000000001</v>
      </c>
      <c r="CE25" s="3">
        <v>6</v>
      </c>
      <c r="CF25" s="37">
        <f t="shared" si="27"/>
        <v>1.3755158184319118</v>
      </c>
      <c r="CG25" s="3">
        <v>6</v>
      </c>
      <c r="CH25" s="3">
        <v>6</v>
      </c>
      <c r="CI25" s="36" t="s">
        <v>419</v>
      </c>
      <c r="CJ25" s="4" t="s">
        <v>168</v>
      </c>
      <c r="CK25" s="6">
        <v>22.8</v>
      </c>
      <c r="CL25" s="6">
        <v>20</v>
      </c>
      <c r="CM25" s="33">
        <f t="shared" si="28"/>
        <v>1.1400000000000001</v>
      </c>
      <c r="CN25" s="42">
        <v>0.39400000000000002</v>
      </c>
      <c r="CO25" s="3">
        <v>0</v>
      </c>
      <c r="CP25" s="37">
        <f t="shared" si="29"/>
        <v>0</v>
      </c>
      <c r="CQ25" s="3">
        <v>0</v>
      </c>
      <c r="CR25" s="3">
        <v>0</v>
      </c>
      <c r="CS25" s="4"/>
      <c r="CT25" s="4"/>
      <c r="CU25" s="6"/>
      <c r="CV25" s="6"/>
      <c r="CW25" s="33" t="str">
        <f t="shared" si="30"/>
        <v/>
      </c>
      <c r="CX25" s="42"/>
      <c r="CY25" s="3"/>
      <c r="CZ25" s="37" t="str">
        <f t="shared" si="31"/>
        <v/>
      </c>
      <c r="DA25" s="3"/>
      <c r="DB25" s="3"/>
      <c r="DC25" s="4"/>
      <c r="DD25" s="4"/>
      <c r="DE25" s="6"/>
      <c r="DF25" s="6"/>
      <c r="DG25" s="33" t="str">
        <f t="shared" si="32"/>
        <v/>
      </c>
      <c r="DH25" s="42"/>
      <c r="DI25" s="3"/>
      <c r="DJ25" s="37" t="str">
        <f t="shared" si="33"/>
        <v/>
      </c>
      <c r="DK25" s="3"/>
      <c r="DL25" s="3"/>
      <c r="DM25" s="4"/>
      <c r="DN25" s="4"/>
      <c r="DO25" s="6"/>
      <c r="DP25" s="6"/>
      <c r="DQ25" s="33" t="str">
        <f t="shared" si="34"/>
        <v/>
      </c>
      <c r="DR25" s="42"/>
      <c r="DS25" s="3"/>
      <c r="DT25" s="37" t="str">
        <f t="shared" si="35"/>
        <v/>
      </c>
      <c r="DU25" s="3"/>
      <c r="DV25" s="3"/>
      <c r="DW25" s="4"/>
      <c r="DX25" s="4"/>
      <c r="DY25" s="6"/>
      <c r="DZ25" s="6"/>
      <c r="EA25" s="33" t="str">
        <f t="shared" si="36"/>
        <v/>
      </c>
      <c r="EB25" s="42"/>
      <c r="EC25" s="3"/>
      <c r="ED25" s="37" t="str">
        <f t="shared" si="37"/>
        <v/>
      </c>
      <c r="EE25" s="3"/>
      <c r="EF25" s="3"/>
      <c r="EG25" s="4"/>
      <c r="EH25" s="4"/>
      <c r="EI25" s="6"/>
      <c r="EJ25" s="6"/>
      <c r="EK25" s="33" t="str">
        <f t="shared" si="38"/>
        <v/>
      </c>
      <c r="EL25" s="42"/>
      <c r="EM25" s="3"/>
      <c r="EN25" s="37" t="str">
        <f t="shared" si="39"/>
        <v/>
      </c>
      <c r="EO25" s="3"/>
      <c r="EP25" s="3"/>
      <c r="EQ25" s="4"/>
      <c r="ER25" s="4"/>
      <c r="ES25" s="6"/>
      <c r="ET25" s="6"/>
      <c r="EU25" s="33" t="str">
        <f t="shared" si="40"/>
        <v/>
      </c>
      <c r="EV25" s="42"/>
      <c r="EW25" s="3"/>
      <c r="EX25" s="37" t="str">
        <f t="shared" si="41"/>
        <v/>
      </c>
      <c r="EY25" s="3"/>
      <c r="EZ25" s="3"/>
      <c r="FA25" s="4"/>
      <c r="FB25" s="4"/>
      <c r="FC25" s="6"/>
      <c r="FD25" s="6"/>
      <c r="FE25" s="33" t="str">
        <f t="shared" si="42"/>
        <v/>
      </c>
      <c r="FF25" s="42"/>
      <c r="FG25" s="3"/>
      <c r="FH25" s="37" t="str">
        <f t="shared" si="43"/>
        <v/>
      </c>
      <c r="FI25" s="3"/>
      <c r="FJ25" s="3"/>
      <c r="FM25" s="54">
        <f t="shared" si="49"/>
        <v>8.5240000000000009</v>
      </c>
      <c r="FN25" s="54">
        <f t="shared" si="50"/>
        <v>21</v>
      </c>
      <c r="FO25" s="471">
        <f t="shared" si="44"/>
        <v>103.30000000000001</v>
      </c>
      <c r="FP25" s="471">
        <f t="shared" si="45"/>
        <v>139.5</v>
      </c>
    </row>
    <row r="26" spans="2:172" ht="186.95">
      <c r="B26" s="3" t="s">
        <v>420</v>
      </c>
      <c r="C26" s="187" t="s">
        <v>300</v>
      </c>
      <c r="D26" s="28" t="s">
        <v>313</v>
      </c>
      <c r="E26" s="4">
        <v>6</v>
      </c>
      <c r="F26" s="123" t="str">
        <f t="shared" si="1"/>
        <v>○
[P・Q]
○・○</v>
      </c>
      <c r="G26" s="123" t="str">
        <f t="shared" si="2"/>
        <v>○
[P・Q]
○・○</v>
      </c>
      <c r="H26" s="123" t="str">
        <f t="shared" si="3"/>
        <v>○
[P・Q]
○・○</v>
      </c>
      <c r="I26" s="123" t="str">
        <f t="shared" si="4"/>
        <v>×
[P・Q]
○・×</v>
      </c>
      <c r="J26" s="123" t="str">
        <f t="shared" si="5"/>
        <v>○
[P・Q]
○・○</v>
      </c>
      <c r="K26" s="123" t="str">
        <f t="shared" si="6"/>
        <v>×
[P・Q]
--・--</v>
      </c>
      <c r="L26" s="123" t="str">
        <f t="shared" si="7"/>
        <v/>
      </c>
      <c r="M26" s="123" t="str">
        <f t="shared" si="8"/>
        <v/>
      </c>
      <c r="N26" s="123" t="str">
        <f t="shared" si="9"/>
        <v/>
      </c>
      <c r="O26" s="123" t="str">
        <f t="shared" si="10"/>
        <v/>
      </c>
      <c r="P26" s="123" t="str">
        <f t="shared" si="11"/>
        <v/>
      </c>
      <c r="Q26" s="123" t="str">
        <f t="shared" si="12"/>
        <v/>
      </c>
      <c r="R26" s="76">
        <f t="shared" si="13"/>
        <v>0.83333333333333337</v>
      </c>
      <c r="S26" s="4">
        <v>3</v>
      </c>
      <c r="T26" s="4">
        <v>5</v>
      </c>
      <c r="U26" s="4">
        <v>5</v>
      </c>
      <c r="V26" s="4">
        <v>5</v>
      </c>
      <c r="W26" s="77">
        <f t="shared" si="14"/>
        <v>31.25</v>
      </c>
      <c r="X26" s="77">
        <f t="shared" si="15"/>
        <v>25</v>
      </c>
      <c r="Y26" s="77">
        <v>1.1499999999999999</v>
      </c>
      <c r="Z26" s="55">
        <f>SUM(S26:Y26)</f>
        <v>75.400000000000006</v>
      </c>
      <c r="AA26" s="130" t="s">
        <v>421</v>
      </c>
      <c r="AB26" s="221"/>
      <c r="AC26" s="191" t="s">
        <v>251</v>
      </c>
      <c r="AD26" s="5" t="s">
        <v>422</v>
      </c>
      <c r="AE26" s="242"/>
      <c r="AF26" s="221" t="s">
        <v>423</v>
      </c>
      <c r="AG26" s="310">
        <f>TaskEndDay!H20</f>
        <v>1</v>
      </c>
      <c r="AH26" s="205">
        <f t="shared" si="16"/>
        <v>0.83009039105552773</v>
      </c>
      <c r="AI26" s="206">
        <f t="shared" si="17"/>
        <v>8.0885022756039078</v>
      </c>
      <c r="AJ26" s="80" t="str">
        <f t="shared" si="18"/>
        <v>HIGH</v>
      </c>
      <c r="AK26" s="80" t="str">
        <f>IFERROR(IF(AI26&lt;=8,"HIGH","LOW"),"")</f>
        <v>LOW</v>
      </c>
      <c r="AL26" s="281" t="s">
        <v>424</v>
      </c>
      <c r="AM26" s="99" t="s">
        <v>425</v>
      </c>
      <c r="AN26" s="126" t="str">
        <f>IF(AND(Z26&gt;Summary!$C$5, Z26&lt;=Summary!$D$5),Summary!$B$5,IF(AND(Z26&gt;Summary!$C$6, Z26&lt;=Summary!$D$6),Summary!$B$6,IF(AND(Z26&gt;Summary!$C$7, Z26&lt;=Summary!$D$7),Summary!$B$7,Summary!$B$8)))</f>
        <v>◎</v>
      </c>
      <c r="AO26" s="14" t="s">
        <v>168</v>
      </c>
      <c r="AP26" s="14"/>
      <c r="AQ26" s="14"/>
      <c r="AR26" s="14" t="s">
        <v>168</v>
      </c>
      <c r="AS26" s="14"/>
      <c r="AT26" s="29" t="s">
        <v>231</v>
      </c>
      <c r="AU26" s="36" t="s">
        <v>426</v>
      </c>
      <c r="AV26" s="4" t="s">
        <v>168</v>
      </c>
      <c r="AW26" s="6">
        <v>15.5</v>
      </c>
      <c r="AX26" s="6">
        <v>19</v>
      </c>
      <c r="AY26" s="33">
        <f t="shared" si="20"/>
        <v>0.81578947368421051</v>
      </c>
      <c r="AZ26" s="42">
        <v>0.14099999999999999</v>
      </c>
      <c r="BA26" s="3">
        <v>1</v>
      </c>
      <c r="BB26" s="37">
        <f t="shared" si="21"/>
        <v>7.0921985815602842</v>
      </c>
      <c r="BC26" s="3">
        <v>1</v>
      </c>
      <c r="BD26" s="3">
        <v>1</v>
      </c>
      <c r="BE26" s="36" t="s">
        <v>427</v>
      </c>
      <c r="BF26" s="4" t="s">
        <v>168</v>
      </c>
      <c r="BG26" s="6">
        <v>22.7</v>
      </c>
      <c r="BH26" s="6">
        <v>25.5</v>
      </c>
      <c r="BI26" s="33">
        <f t="shared" si="22"/>
        <v>0.8901960784313725</v>
      </c>
      <c r="BJ26" s="42">
        <v>2.9</v>
      </c>
      <c r="BK26" s="3">
        <v>2</v>
      </c>
      <c r="BL26" s="37">
        <f t="shared" si="23"/>
        <v>0.68965517241379315</v>
      </c>
      <c r="BM26" s="3">
        <v>2</v>
      </c>
      <c r="BN26" s="3">
        <v>2</v>
      </c>
      <c r="BO26" s="36" t="s">
        <v>428</v>
      </c>
      <c r="BP26" s="4" t="s">
        <v>168</v>
      </c>
      <c r="BQ26" s="6">
        <v>17</v>
      </c>
      <c r="BR26" s="6">
        <v>22</v>
      </c>
      <c r="BS26" s="33">
        <f t="shared" si="24"/>
        <v>0.77272727272727271</v>
      </c>
      <c r="BT26" s="42">
        <v>1.6870000000000001</v>
      </c>
      <c r="BU26" s="3">
        <v>3</v>
      </c>
      <c r="BV26" s="37">
        <f t="shared" si="25"/>
        <v>1.7783046828689981</v>
      </c>
      <c r="BW26" s="3">
        <v>3</v>
      </c>
      <c r="BX26" s="3">
        <v>3</v>
      </c>
      <c r="BY26" s="36" t="s">
        <v>429</v>
      </c>
      <c r="BZ26" s="4" t="s">
        <v>168</v>
      </c>
      <c r="CA26" s="6">
        <v>10.5</v>
      </c>
      <c r="CB26" s="6">
        <v>14</v>
      </c>
      <c r="CC26" s="33">
        <f t="shared" si="26"/>
        <v>0.75</v>
      </c>
      <c r="CD26" s="42">
        <v>0.17</v>
      </c>
      <c r="CE26" s="3">
        <v>4</v>
      </c>
      <c r="CF26" s="37">
        <f t="shared" si="27"/>
        <v>23.52941176470588</v>
      </c>
      <c r="CG26" s="3">
        <v>4</v>
      </c>
      <c r="CH26" s="3">
        <v>4</v>
      </c>
      <c r="CI26" s="36" t="s">
        <v>430</v>
      </c>
      <c r="CJ26" s="4" t="s">
        <v>168</v>
      </c>
      <c r="CK26" s="6">
        <v>10.6</v>
      </c>
      <c r="CL26" s="6">
        <v>11.5</v>
      </c>
      <c r="CM26" s="33">
        <f t="shared" si="28"/>
        <v>0.92173913043478262</v>
      </c>
      <c r="CN26" s="42">
        <v>0.27200000000000002</v>
      </c>
      <c r="CO26" s="3">
        <v>2</v>
      </c>
      <c r="CP26" s="37">
        <f t="shared" si="29"/>
        <v>7.3529411764705879</v>
      </c>
      <c r="CQ26" s="3">
        <v>2</v>
      </c>
      <c r="CR26" s="3">
        <v>2</v>
      </c>
      <c r="CS26" s="80" t="s">
        <v>431</v>
      </c>
      <c r="CT26" s="4"/>
      <c r="CU26" s="6">
        <v>23.1</v>
      </c>
      <c r="CV26" s="6"/>
      <c r="CW26" s="33" t="str">
        <f t="shared" si="30"/>
        <v/>
      </c>
      <c r="CX26" s="42"/>
      <c r="CY26" s="3"/>
      <c r="CZ26" s="37" t="str">
        <f t="shared" si="31"/>
        <v/>
      </c>
      <c r="DA26" s="3"/>
      <c r="DB26" s="3"/>
      <c r="DC26" s="36"/>
      <c r="DD26" s="4"/>
      <c r="DE26" s="6"/>
      <c r="DF26" s="6"/>
      <c r="DG26" s="33" t="str">
        <f t="shared" si="32"/>
        <v/>
      </c>
      <c r="DH26" s="42"/>
      <c r="DI26" s="3"/>
      <c r="DJ26" s="37" t="str">
        <f t="shared" si="33"/>
        <v/>
      </c>
      <c r="DK26" s="3"/>
      <c r="DL26" s="3"/>
      <c r="DM26" s="4"/>
      <c r="DN26" s="4"/>
      <c r="DO26" s="6"/>
      <c r="DP26" s="6"/>
      <c r="DQ26" s="33" t="str">
        <f t="shared" si="34"/>
        <v/>
      </c>
      <c r="DR26" s="42"/>
      <c r="DS26" s="3"/>
      <c r="DT26" s="37" t="str">
        <f t="shared" si="35"/>
        <v/>
      </c>
      <c r="DU26" s="3"/>
      <c r="DV26" s="3"/>
      <c r="DW26" s="4"/>
      <c r="DX26" s="4"/>
      <c r="DY26" s="6"/>
      <c r="DZ26" s="6"/>
      <c r="EA26" s="33" t="str">
        <f t="shared" si="36"/>
        <v/>
      </c>
      <c r="EB26" s="42"/>
      <c r="EC26" s="3"/>
      <c r="ED26" s="37" t="str">
        <f t="shared" si="37"/>
        <v/>
      </c>
      <c r="EE26" s="3"/>
      <c r="EF26" s="3"/>
      <c r="EG26" s="4"/>
      <c r="EH26" s="4"/>
      <c r="EI26" s="6"/>
      <c r="EJ26" s="6"/>
      <c r="EK26" s="33" t="str">
        <f t="shared" si="38"/>
        <v/>
      </c>
      <c r="EL26" s="42"/>
      <c r="EM26" s="3"/>
      <c r="EN26" s="37" t="str">
        <f t="shared" si="39"/>
        <v/>
      </c>
      <c r="EO26" s="3"/>
      <c r="EP26" s="3"/>
      <c r="EQ26" s="4"/>
      <c r="ER26" s="4"/>
      <c r="ES26" s="6"/>
      <c r="ET26" s="6"/>
      <c r="EU26" s="33" t="str">
        <f t="shared" si="40"/>
        <v/>
      </c>
      <c r="EV26" s="42"/>
      <c r="EW26" s="3"/>
      <c r="EX26" s="37" t="str">
        <f t="shared" si="41"/>
        <v/>
      </c>
      <c r="EY26" s="3"/>
      <c r="EZ26" s="3"/>
      <c r="FA26" s="4"/>
      <c r="FB26" s="4"/>
      <c r="FC26" s="6"/>
      <c r="FD26" s="6"/>
      <c r="FE26" s="33" t="str">
        <f t="shared" si="42"/>
        <v/>
      </c>
      <c r="FF26" s="42"/>
      <c r="FG26" s="3"/>
      <c r="FH26" s="37" t="str">
        <f t="shared" si="43"/>
        <v/>
      </c>
      <c r="FI26" s="3"/>
      <c r="FJ26" s="3"/>
      <c r="FM26" s="54">
        <f t="shared" si="49"/>
        <v>5.17</v>
      </c>
      <c r="FN26" s="54">
        <f t="shared" si="50"/>
        <v>12</v>
      </c>
      <c r="FO26" s="471">
        <f t="shared" si="44"/>
        <v>99.4</v>
      </c>
      <c r="FP26" s="471">
        <f t="shared" si="45"/>
        <v>92</v>
      </c>
    </row>
    <row r="27" spans="2:172" ht="209.1">
      <c r="B27" s="92" t="s">
        <v>432</v>
      </c>
      <c r="C27" s="187" t="s">
        <v>223</v>
      </c>
      <c r="D27" s="28" t="s">
        <v>224</v>
      </c>
      <c r="E27" s="4">
        <v>6</v>
      </c>
      <c r="F27" s="123" t="str">
        <f t="shared" si="1"/>
        <v>×
[P・Q]
○・×</v>
      </c>
      <c r="G27" s="123" t="str">
        <f t="shared" si="2"/>
        <v>○
[P・Q]
○・○</v>
      </c>
      <c r="H27" s="123" t="str">
        <f t="shared" si="3"/>
        <v>×
[P・Q]
○・×</v>
      </c>
      <c r="I27" s="123" t="str">
        <f t="shared" si="4"/>
        <v>○
[P・Q]
○・○</v>
      </c>
      <c r="J27" s="123" t="str">
        <f t="shared" si="5"/>
        <v>○
[P・Q]
○・○</v>
      </c>
      <c r="K27" s="123" t="str">
        <f t="shared" si="6"/>
        <v>×
[P・Q]
×・○</v>
      </c>
      <c r="L27" s="123" t="str">
        <f t="shared" si="7"/>
        <v/>
      </c>
      <c r="M27" s="123" t="str">
        <f t="shared" si="8"/>
        <v/>
      </c>
      <c r="N27" s="123" t="str">
        <f t="shared" si="9"/>
        <v/>
      </c>
      <c r="O27" s="123" t="str">
        <f t="shared" si="10"/>
        <v/>
      </c>
      <c r="P27" s="123" t="str">
        <f t="shared" si="11"/>
        <v/>
      </c>
      <c r="Q27" s="123" t="str">
        <f t="shared" si="12"/>
        <v/>
      </c>
      <c r="R27" s="76">
        <f t="shared" si="13"/>
        <v>1</v>
      </c>
      <c r="S27" s="4">
        <v>3</v>
      </c>
      <c r="T27" s="4">
        <v>5</v>
      </c>
      <c r="U27" s="4">
        <v>5</v>
      </c>
      <c r="V27" s="4">
        <v>5</v>
      </c>
      <c r="W27" s="77">
        <f t="shared" si="14"/>
        <v>31.25</v>
      </c>
      <c r="X27" s="77">
        <f t="shared" si="15"/>
        <v>18.75</v>
      </c>
      <c r="Y27" s="77" cm="1">
        <f t="array" ref="Y27">_xlfn.IFS(R27&gt;=0.8,5,R27&gt;=0.6,3,R27&gt;=0.2,1,R27&lt;0.2,0)</f>
        <v>5</v>
      </c>
      <c r="Z27" s="55">
        <f t="shared" ref="Z27:Z31" si="55">SUM(S27:Y27)</f>
        <v>73</v>
      </c>
      <c r="AA27" s="220" t="s">
        <v>433</v>
      </c>
      <c r="AB27" s="5"/>
      <c r="AC27" s="80" t="s">
        <v>251</v>
      </c>
      <c r="AD27" s="130" t="s">
        <v>434</v>
      </c>
      <c r="AE27" s="5"/>
      <c r="AF27" s="5" t="s">
        <v>435</v>
      </c>
      <c r="AG27" s="310">
        <f>TaskEndDay!H21</f>
        <v>1</v>
      </c>
      <c r="AH27" s="205">
        <f t="shared" si="16"/>
        <v>0.84773876699305717</v>
      </c>
      <c r="AI27" s="206">
        <f t="shared" si="17"/>
        <v>14.443299253823183</v>
      </c>
      <c r="AJ27" s="80" t="str">
        <f t="shared" si="18"/>
        <v>HIGH</v>
      </c>
      <c r="AK27" s="80" t="str">
        <f t="shared" si="19"/>
        <v>LOW</v>
      </c>
      <c r="AL27" s="243" t="s">
        <v>436</v>
      </c>
      <c r="AM27" s="217" t="s">
        <v>437</v>
      </c>
      <c r="AN27" s="126" t="str">
        <f>IF(AND(Z27&gt;Summary!$C$5, Z27&lt;=Summary!$D$5),Summary!$B$5,IF(AND(Z27&gt;Summary!$C$6, Z27&lt;=Summary!$D$6),Summary!$B$6,IF(AND(Z27&gt;Summary!$C$7, Z27&lt;=Summary!$D$7),Summary!$B$7,Summary!$B$8)))</f>
        <v>◎</v>
      </c>
      <c r="AO27" s="14" t="s">
        <v>168</v>
      </c>
      <c r="AP27" s="14"/>
      <c r="AQ27" s="14"/>
      <c r="AR27" s="14" t="s">
        <v>168</v>
      </c>
      <c r="AS27" s="14"/>
      <c r="AT27" s="29" t="s">
        <v>245</v>
      </c>
      <c r="AU27" s="36" t="s">
        <v>438</v>
      </c>
      <c r="AV27" s="4" t="s">
        <v>168</v>
      </c>
      <c r="AW27" s="6">
        <v>22.9</v>
      </c>
      <c r="AX27" s="6">
        <v>20.5</v>
      </c>
      <c r="AY27" s="33">
        <f t="shared" si="20"/>
        <v>1.1170731707317072</v>
      </c>
      <c r="AZ27" s="42">
        <v>0.124</v>
      </c>
      <c r="BA27" s="3">
        <v>5</v>
      </c>
      <c r="BB27" s="37">
        <f t="shared" si="21"/>
        <v>40.322580645161288</v>
      </c>
      <c r="BC27" s="3">
        <v>5</v>
      </c>
      <c r="BD27" s="3">
        <v>5</v>
      </c>
      <c r="BE27" s="36" t="s">
        <v>439</v>
      </c>
      <c r="BF27" s="4" t="s">
        <v>168</v>
      </c>
      <c r="BG27" s="6">
        <v>22.8</v>
      </c>
      <c r="BH27" s="6">
        <v>21</v>
      </c>
      <c r="BI27" s="33">
        <f t="shared" si="22"/>
        <v>1.0857142857142859</v>
      </c>
      <c r="BJ27" s="42">
        <v>0.94099999999999995</v>
      </c>
      <c r="BK27" s="3">
        <v>2</v>
      </c>
      <c r="BL27" s="37">
        <f t="shared" si="23"/>
        <v>2.1253985122210417</v>
      </c>
      <c r="BM27" s="3">
        <v>2</v>
      </c>
      <c r="BN27" s="3">
        <v>2</v>
      </c>
      <c r="BO27" s="36" t="s">
        <v>440</v>
      </c>
      <c r="BP27" s="4" t="s">
        <v>168</v>
      </c>
      <c r="BQ27" s="6">
        <v>15.6</v>
      </c>
      <c r="BR27" s="6">
        <v>24</v>
      </c>
      <c r="BS27" s="33">
        <f t="shared" si="24"/>
        <v>0.65</v>
      </c>
      <c r="BT27" s="42">
        <v>0.377</v>
      </c>
      <c r="BU27" s="3">
        <v>5</v>
      </c>
      <c r="BV27" s="37">
        <f t="shared" si="25"/>
        <v>13.262599469496021</v>
      </c>
      <c r="BW27" s="3">
        <v>5</v>
      </c>
      <c r="BX27" s="3">
        <v>5</v>
      </c>
      <c r="BY27" s="36" t="s">
        <v>441</v>
      </c>
      <c r="BZ27" s="4" t="s">
        <v>168</v>
      </c>
      <c r="CA27" s="6">
        <v>22.7</v>
      </c>
      <c r="CB27" s="6">
        <v>29</v>
      </c>
      <c r="CC27" s="33">
        <f t="shared" si="26"/>
        <v>0.78275862068965518</v>
      </c>
      <c r="CD27" s="42">
        <v>2.3690000000000002</v>
      </c>
      <c r="CE27" s="3">
        <v>0</v>
      </c>
      <c r="CF27" s="37">
        <f>IF(CE27="","",CE27/CD27)</f>
        <v>0</v>
      </c>
      <c r="CG27" s="3">
        <v>0</v>
      </c>
      <c r="CH27" s="3">
        <v>0</v>
      </c>
      <c r="CI27" s="36" t="s">
        <v>442</v>
      </c>
      <c r="CJ27" s="4" t="s">
        <v>168</v>
      </c>
      <c r="CK27" s="6">
        <v>24.2</v>
      </c>
      <c r="CL27" s="6">
        <v>24</v>
      </c>
      <c r="CM27" s="33">
        <f t="shared" si="28"/>
        <v>1.0083333333333333</v>
      </c>
      <c r="CN27" s="42">
        <v>4.2140000000000004</v>
      </c>
      <c r="CO27" s="3">
        <v>4</v>
      </c>
      <c r="CP27" s="37">
        <f t="shared" si="29"/>
        <v>0.94921689606074977</v>
      </c>
      <c r="CQ27" s="3">
        <v>4</v>
      </c>
      <c r="CR27" s="3">
        <v>4</v>
      </c>
      <c r="CS27" s="36" t="s">
        <v>443</v>
      </c>
      <c r="CT27" s="4" t="s">
        <v>168</v>
      </c>
      <c r="CU27" s="6">
        <v>10.4</v>
      </c>
      <c r="CV27" s="6">
        <v>23.5</v>
      </c>
      <c r="CW27" s="33">
        <f t="shared" si="30"/>
        <v>0.44255319148936173</v>
      </c>
      <c r="CX27" s="42">
        <v>0.1</v>
      </c>
      <c r="CY27" s="3">
        <v>3</v>
      </c>
      <c r="CZ27" s="37">
        <f t="shared" si="31"/>
        <v>30</v>
      </c>
      <c r="DA27" s="3">
        <v>3</v>
      </c>
      <c r="DB27" s="3">
        <v>3</v>
      </c>
      <c r="DC27" s="36"/>
      <c r="DD27" s="4"/>
      <c r="DE27" s="6"/>
      <c r="DF27" s="6"/>
      <c r="DG27" s="33" t="str">
        <f t="shared" si="32"/>
        <v/>
      </c>
      <c r="DH27" s="42"/>
      <c r="DI27" s="3"/>
      <c r="DJ27" s="37" t="str">
        <f t="shared" si="33"/>
        <v/>
      </c>
      <c r="DK27" s="3"/>
      <c r="DL27" s="3"/>
      <c r="DM27" s="4"/>
      <c r="DN27" s="4"/>
      <c r="DO27" s="6"/>
      <c r="DP27" s="6"/>
      <c r="DQ27" s="33" t="str">
        <f t="shared" si="34"/>
        <v/>
      </c>
      <c r="DR27" s="42"/>
      <c r="DS27" s="3"/>
      <c r="DT27" s="37" t="str">
        <f t="shared" si="35"/>
        <v/>
      </c>
      <c r="DU27" s="3"/>
      <c r="DV27" s="3"/>
      <c r="DW27" s="4"/>
      <c r="DX27" s="4"/>
      <c r="DY27" s="6"/>
      <c r="DZ27" s="6"/>
      <c r="EA27" s="33" t="str">
        <f t="shared" si="36"/>
        <v/>
      </c>
      <c r="EB27" s="42"/>
      <c r="EC27" s="3"/>
      <c r="ED27" s="37" t="str">
        <f t="shared" si="37"/>
        <v/>
      </c>
      <c r="EE27" s="3"/>
      <c r="EF27" s="3"/>
      <c r="EG27" s="4"/>
      <c r="EH27" s="4"/>
      <c r="EI27" s="6"/>
      <c r="EJ27" s="6"/>
      <c r="EK27" s="33" t="str">
        <f t="shared" si="38"/>
        <v/>
      </c>
      <c r="EL27" s="42"/>
      <c r="EM27" s="3"/>
      <c r="EN27" s="37" t="str">
        <f t="shared" si="39"/>
        <v/>
      </c>
      <c r="EO27" s="3"/>
      <c r="EP27" s="3"/>
      <c r="EQ27" s="4"/>
      <c r="ER27" s="4"/>
      <c r="ES27" s="6"/>
      <c r="ET27" s="6"/>
      <c r="EU27" s="33" t="str">
        <f t="shared" si="40"/>
        <v/>
      </c>
      <c r="EV27" s="42"/>
      <c r="EW27" s="3"/>
      <c r="EX27" s="37" t="str">
        <f t="shared" si="41"/>
        <v/>
      </c>
      <c r="EY27" s="3"/>
      <c r="EZ27" s="3"/>
      <c r="FA27" s="4"/>
      <c r="FB27" s="4"/>
      <c r="FC27" s="6"/>
      <c r="FD27" s="6"/>
      <c r="FE27" s="33" t="str">
        <f t="shared" si="42"/>
        <v/>
      </c>
      <c r="FF27" s="42"/>
      <c r="FG27" s="3"/>
      <c r="FH27" s="37" t="str">
        <f t="shared" si="43"/>
        <v/>
      </c>
      <c r="FI27" s="3"/>
      <c r="FJ27" s="3"/>
      <c r="FM27" s="54">
        <f t="shared" si="49"/>
        <v>8.125</v>
      </c>
      <c r="FN27" s="54">
        <f t="shared" si="50"/>
        <v>19</v>
      </c>
      <c r="FO27" s="471">
        <f t="shared" si="44"/>
        <v>118.6</v>
      </c>
      <c r="FP27" s="471">
        <f t="shared" si="45"/>
        <v>142</v>
      </c>
    </row>
    <row r="28" spans="2:172" ht="42" customHeight="1">
      <c r="B28" s="92"/>
      <c r="C28" s="3"/>
      <c r="D28" s="3"/>
      <c r="E28" s="4"/>
      <c r="F28" s="123" t="str">
        <f t="shared" si="1"/>
        <v/>
      </c>
      <c r="G28" s="123" t="str">
        <f t="shared" si="2"/>
        <v/>
      </c>
      <c r="H28" s="123" t="str">
        <f t="shared" si="3"/>
        <v/>
      </c>
      <c r="I28" s="123" t="str">
        <f t="shared" si="4"/>
        <v/>
      </c>
      <c r="J28" s="123" t="str">
        <f t="shared" si="5"/>
        <v/>
      </c>
      <c r="K28" s="123" t="str">
        <f t="shared" si="6"/>
        <v/>
      </c>
      <c r="L28" s="123" t="str">
        <f t="shared" si="7"/>
        <v/>
      </c>
      <c r="M28" s="123" t="str">
        <f t="shared" si="8"/>
        <v/>
      </c>
      <c r="N28" s="123" t="str">
        <f t="shared" si="9"/>
        <v/>
      </c>
      <c r="O28" s="123" t="str">
        <f t="shared" si="10"/>
        <v/>
      </c>
      <c r="P28" s="123" t="str">
        <f t="shared" si="11"/>
        <v/>
      </c>
      <c r="Q28" s="123" t="str">
        <f t="shared" si="12"/>
        <v/>
      </c>
      <c r="R28" s="76" t="e">
        <f t="shared" si="13"/>
        <v>#DIV/0!</v>
      </c>
      <c r="S28" s="4"/>
      <c r="T28" s="4"/>
      <c r="U28" s="4"/>
      <c r="V28" s="4"/>
      <c r="W28" s="77" t="e">
        <f t="shared" si="14"/>
        <v>#DIV/0!</v>
      </c>
      <c r="X28" s="77" t="e">
        <f t="shared" si="15"/>
        <v>#DIV/0!</v>
      </c>
      <c r="Y28" s="77" t="e" cm="1">
        <f t="array" ref="Y28">_xlfn.IFS(R28&gt;=0.8,5,R28&gt;=0.6,3,R28&gt;=0.2,1,R28&lt;0.2,0)</f>
        <v>#DIV/0!</v>
      </c>
      <c r="Z28" s="55" t="e">
        <f t="shared" si="55"/>
        <v>#DIV/0!</v>
      </c>
      <c r="AA28" s="5"/>
      <c r="AB28" s="130"/>
      <c r="AC28" s="130"/>
      <c r="AD28" s="130"/>
      <c r="AE28" s="130"/>
      <c r="AF28" s="130"/>
      <c r="AG28" s="5"/>
      <c r="AH28" s="5"/>
      <c r="AI28" s="5"/>
      <c r="AJ28" s="5"/>
      <c r="AK28" s="5"/>
      <c r="AL28" s="5"/>
      <c r="AM28" s="5"/>
      <c r="AN28" s="126" t="e">
        <f>IF(AND(Z28&gt;Summary!$C$5, Z28&lt;=Summary!$D$5),Summary!$B$5,IF(AND(Z28&gt;Summary!$C$6, Z28&lt;=Summary!$D$6),Summary!$B$6,IF(AND(Z28&gt;Summary!$C$7, Z28&lt;=Summary!$D$7),Summary!$B$7,Summary!$B$8)))</f>
        <v>#DIV/0!</v>
      </c>
      <c r="AO28" s="14"/>
      <c r="AP28" s="14"/>
      <c r="AQ28" s="14"/>
      <c r="AR28" s="14"/>
      <c r="AS28" s="14"/>
      <c r="AT28" s="29"/>
      <c r="AU28" s="4"/>
      <c r="AV28" s="4"/>
      <c r="AW28" s="6"/>
      <c r="AX28" s="6"/>
      <c r="AY28" s="33" t="str">
        <f t="shared" si="20"/>
        <v/>
      </c>
      <c r="AZ28" s="42"/>
      <c r="BA28" s="3"/>
      <c r="BB28" s="37" t="str">
        <f t="shared" si="21"/>
        <v/>
      </c>
      <c r="BC28" s="3"/>
      <c r="BD28" s="3"/>
      <c r="BE28" s="4"/>
      <c r="BF28" s="4"/>
      <c r="BG28" s="6"/>
      <c r="BH28" s="6"/>
      <c r="BI28" s="33" t="str">
        <f t="shared" si="22"/>
        <v/>
      </c>
      <c r="BJ28" s="42"/>
      <c r="BK28" s="3"/>
      <c r="BL28" s="37" t="str">
        <f t="shared" si="23"/>
        <v/>
      </c>
      <c r="BM28" s="3"/>
      <c r="BN28" s="3"/>
      <c r="BO28" s="4"/>
      <c r="BP28" s="4"/>
      <c r="BQ28" s="6"/>
      <c r="BR28" s="6"/>
      <c r="BS28" s="33" t="str">
        <f t="shared" si="24"/>
        <v/>
      </c>
      <c r="BT28" s="42"/>
      <c r="BU28" s="3"/>
      <c r="BV28" s="37" t="str">
        <f t="shared" si="25"/>
        <v/>
      </c>
      <c r="BW28" s="3"/>
      <c r="BX28" s="3"/>
      <c r="BY28" s="4"/>
      <c r="BZ28" s="4"/>
      <c r="CA28" s="6"/>
      <c r="CB28" s="6"/>
      <c r="CC28" s="33" t="str">
        <f t="shared" si="26"/>
        <v/>
      </c>
      <c r="CD28" s="42"/>
      <c r="CE28" s="3"/>
      <c r="CF28" s="37" t="str">
        <f t="shared" si="27"/>
        <v/>
      </c>
      <c r="CG28" s="3"/>
      <c r="CH28" s="3"/>
      <c r="CI28" s="4"/>
      <c r="CJ28" s="4"/>
      <c r="CK28" s="6"/>
      <c r="CL28" s="6"/>
      <c r="CM28" s="33" t="str">
        <f t="shared" si="28"/>
        <v/>
      </c>
      <c r="CN28" s="42"/>
      <c r="CO28" s="3"/>
      <c r="CP28" s="37" t="str">
        <f t="shared" si="29"/>
        <v/>
      </c>
      <c r="CQ28" s="3"/>
      <c r="CR28" s="3"/>
      <c r="CS28" s="4"/>
      <c r="CT28" s="4"/>
      <c r="CU28" s="6"/>
      <c r="CV28" s="6"/>
      <c r="CW28" s="33" t="str">
        <f t="shared" si="30"/>
        <v/>
      </c>
      <c r="CX28" s="42"/>
      <c r="CY28" s="3"/>
      <c r="CZ28" s="37" t="str">
        <f t="shared" si="31"/>
        <v/>
      </c>
      <c r="DA28" s="3"/>
      <c r="DB28" s="3"/>
      <c r="DC28" s="4"/>
      <c r="DD28" s="4"/>
      <c r="DE28" s="6"/>
      <c r="DF28" s="6"/>
      <c r="DG28" s="33" t="str">
        <f t="shared" si="32"/>
        <v/>
      </c>
      <c r="DH28" s="42"/>
      <c r="DI28" s="3"/>
      <c r="DJ28" s="37" t="str">
        <f t="shared" si="33"/>
        <v/>
      </c>
      <c r="DK28" s="3"/>
      <c r="DL28" s="3"/>
      <c r="DM28" s="4"/>
      <c r="DN28" s="4"/>
      <c r="DO28" s="6"/>
      <c r="DP28" s="6"/>
      <c r="DQ28" s="33" t="str">
        <f t="shared" si="34"/>
        <v/>
      </c>
      <c r="DR28" s="42"/>
      <c r="DS28" s="3"/>
      <c r="DT28" s="37" t="str">
        <f t="shared" si="35"/>
        <v/>
      </c>
      <c r="DU28" s="3"/>
      <c r="DV28" s="3"/>
      <c r="DW28" s="4"/>
      <c r="DX28" s="4"/>
      <c r="DY28" s="6"/>
      <c r="DZ28" s="6"/>
      <c r="EA28" s="33" t="str">
        <f t="shared" si="36"/>
        <v/>
      </c>
      <c r="EB28" s="42"/>
      <c r="EC28" s="3"/>
      <c r="ED28" s="37" t="str">
        <f t="shared" si="37"/>
        <v/>
      </c>
      <c r="EE28" s="3"/>
      <c r="EF28" s="3"/>
      <c r="EG28" s="4"/>
      <c r="EH28" s="4"/>
      <c r="EI28" s="6"/>
      <c r="EJ28" s="6"/>
      <c r="EK28" s="33" t="str">
        <f t="shared" si="38"/>
        <v/>
      </c>
      <c r="EL28" s="42"/>
      <c r="EM28" s="3"/>
      <c r="EN28" s="37" t="str">
        <f t="shared" si="39"/>
        <v/>
      </c>
      <c r="EO28" s="3"/>
      <c r="EP28" s="3"/>
      <c r="EQ28" s="4"/>
      <c r="ER28" s="4"/>
      <c r="ES28" s="6"/>
      <c r="ET28" s="6"/>
      <c r="EU28" s="33" t="str">
        <f t="shared" si="40"/>
        <v/>
      </c>
      <c r="EV28" s="42"/>
      <c r="EW28" s="3"/>
      <c r="EX28" s="37" t="str">
        <f t="shared" si="41"/>
        <v/>
      </c>
      <c r="EY28" s="3"/>
      <c r="EZ28" s="3"/>
      <c r="FA28" s="4"/>
      <c r="FB28" s="4"/>
      <c r="FC28" s="6"/>
      <c r="FD28" s="6"/>
      <c r="FE28" s="33" t="str">
        <f t="shared" si="42"/>
        <v/>
      </c>
      <c r="FF28" s="42"/>
      <c r="FG28" s="3"/>
      <c r="FH28" s="37" t="str">
        <f t="shared" si="43"/>
        <v/>
      </c>
      <c r="FI28" s="3"/>
      <c r="FJ28" s="3"/>
      <c r="FM28" s="54">
        <f t="shared" si="49"/>
        <v>0</v>
      </c>
      <c r="FN28" s="54">
        <f t="shared" si="50"/>
        <v>0</v>
      </c>
      <c r="FO28" s="471">
        <f t="shared" si="44"/>
        <v>0</v>
      </c>
      <c r="FP28" s="471">
        <f t="shared" si="45"/>
        <v>0</v>
      </c>
    </row>
    <row r="29" spans="2:172" ht="42" customHeight="1">
      <c r="B29" s="3"/>
      <c r="C29" s="3"/>
      <c r="D29" s="3"/>
      <c r="E29" s="4"/>
      <c r="F29" s="123" t="str">
        <f t="shared" si="1"/>
        <v/>
      </c>
      <c r="G29" s="123" t="str">
        <f t="shared" si="2"/>
        <v/>
      </c>
      <c r="H29" s="123" t="str">
        <f t="shared" si="3"/>
        <v/>
      </c>
      <c r="I29" s="123" t="str">
        <f t="shared" si="4"/>
        <v/>
      </c>
      <c r="J29" s="123" t="str">
        <f t="shared" si="5"/>
        <v/>
      </c>
      <c r="K29" s="123" t="str">
        <f t="shared" si="6"/>
        <v/>
      </c>
      <c r="L29" s="123" t="str">
        <f t="shared" si="7"/>
        <v/>
      </c>
      <c r="M29" s="123" t="str">
        <f t="shared" si="8"/>
        <v/>
      </c>
      <c r="N29" s="123" t="str">
        <f t="shared" si="9"/>
        <v/>
      </c>
      <c r="O29" s="123" t="str">
        <f t="shared" si="10"/>
        <v/>
      </c>
      <c r="P29" s="123" t="str">
        <f t="shared" si="11"/>
        <v/>
      </c>
      <c r="Q29" s="123" t="str">
        <f t="shared" si="12"/>
        <v/>
      </c>
      <c r="R29" s="76" t="e">
        <f t="shared" si="13"/>
        <v>#DIV/0!</v>
      </c>
      <c r="S29" s="4"/>
      <c r="T29" s="4"/>
      <c r="U29" s="4"/>
      <c r="V29" s="4"/>
      <c r="W29" s="77" t="e">
        <f t="shared" si="14"/>
        <v>#DIV/0!</v>
      </c>
      <c r="X29" s="77" t="e">
        <f t="shared" si="15"/>
        <v>#DIV/0!</v>
      </c>
      <c r="Y29" s="77" t="e" cm="1">
        <f t="array" ref="Y29">_xlfn.IFS(R29&gt;=0.8,5,R29&gt;=0.6,3,R29&gt;=0.2,1,R29&lt;0.2,0)</f>
        <v>#DIV/0!</v>
      </c>
      <c r="Z29" s="55" t="e">
        <f t="shared" si="55"/>
        <v>#DIV/0!</v>
      </c>
      <c r="AA29" s="5"/>
      <c r="AB29" s="5"/>
      <c r="AC29" s="5"/>
      <c r="AD29" s="5"/>
      <c r="AE29" s="5"/>
      <c r="AF29" s="5"/>
      <c r="AG29" s="5"/>
      <c r="AH29" s="5"/>
      <c r="AI29" s="5"/>
      <c r="AJ29" s="5"/>
      <c r="AK29" s="5"/>
      <c r="AL29" s="5"/>
      <c r="AM29" s="5"/>
      <c r="AN29" s="126" t="e">
        <f>IF(AND(Z29&gt;Summary!$C$5, Z29&lt;=Summary!$D$5),Summary!$B$5,IF(AND(Z29&gt;Summary!$C$6, Z29&lt;=Summary!$D$6),Summary!$B$6,IF(AND(Z29&gt;Summary!$C$7, Z29&lt;=Summary!$D$7),Summary!$B$7,Summary!$B$8)))</f>
        <v>#DIV/0!</v>
      </c>
      <c r="AO29" s="14"/>
      <c r="AP29" s="14"/>
      <c r="AQ29" s="14"/>
      <c r="AR29" s="14"/>
      <c r="AS29" s="14"/>
      <c r="AT29" s="29"/>
      <c r="AU29" s="4"/>
      <c r="AV29" s="4"/>
      <c r="AW29" s="6"/>
      <c r="AX29" s="6"/>
      <c r="AY29" s="33" t="str">
        <f t="shared" si="20"/>
        <v/>
      </c>
      <c r="AZ29" s="42"/>
      <c r="BA29" s="3"/>
      <c r="BB29" s="37" t="str">
        <f t="shared" si="21"/>
        <v/>
      </c>
      <c r="BC29" s="3"/>
      <c r="BD29" s="3"/>
      <c r="BE29" s="4"/>
      <c r="BF29" s="4"/>
      <c r="BG29" s="6"/>
      <c r="BH29" s="6"/>
      <c r="BI29" s="33" t="str">
        <f t="shared" si="22"/>
        <v/>
      </c>
      <c r="BJ29" s="42"/>
      <c r="BK29" s="3"/>
      <c r="BL29" s="37" t="str">
        <f t="shared" si="23"/>
        <v/>
      </c>
      <c r="BM29" s="3"/>
      <c r="BN29" s="3"/>
      <c r="BO29" s="4"/>
      <c r="BP29" s="4"/>
      <c r="BQ29" s="6"/>
      <c r="BR29" s="6"/>
      <c r="BS29" s="33" t="str">
        <f t="shared" si="24"/>
        <v/>
      </c>
      <c r="BT29" s="42"/>
      <c r="BU29" s="3"/>
      <c r="BV29" s="37" t="str">
        <f t="shared" si="25"/>
        <v/>
      </c>
      <c r="BW29" s="3"/>
      <c r="BX29" s="3"/>
      <c r="BY29" s="4"/>
      <c r="BZ29" s="4"/>
      <c r="CA29" s="6"/>
      <c r="CB29" s="6"/>
      <c r="CC29" s="33" t="str">
        <f t="shared" si="26"/>
        <v/>
      </c>
      <c r="CD29" s="42"/>
      <c r="CE29" s="3"/>
      <c r="CF29" s="37" t="str">
        <f t="shared" si="27"/>
        <v/>
      </c>
      <c r="CG29" s="3"/>
      <c r="CH29" s="3"/>
      <c r="CI29" s="4"/>
      <c r="CJ29" s="4"/>
      <c r="CK29" s="6"/>
      <c r="CL29" s="6"/>
      <c r="CM29" s="33" t="str">
        <f t="shared" si="28"/>
        <v/>
      </c>
      <c r="CN29" s="42"/>
      <c r="CO29" s="3"/>
      <c r="CP29" s="37" t="str">
        <f t="shared" si="29"/>
        <v/>
      </c>
      <c r="CQ29" s="3"/>
      <c r="CR29" s="3"/>
      <c r="CS29" s="4"/>
      <c r="CT29" s="4"/>
      <c r="CU29" s="6"/>
      <c r="CV29" s="6"/>
      <c r="CW29" s="33" t="str">
        <f t="shared" si="30"/>
        <v/>
      </c>
      <c r="CX29" s="42"/>
      <c r="CY29" s="3"/>
      <c r="CZ29" s="37" t="str">
        <f t="shared" si="31"/>
        <v/>
      </c>
      <c r="DA29" s="3"/>
      <c r="DB29" s="3"/>
      <c r="DC29" s="4"/>
      <c r="DD29" s="4"/>
      <c r="DE29" s="6"/>
      <c r="DF29" s="6"/>
      <c r="DG29" s="33" t="str">
        <f t="shared" si="32"/>
        <v/>
      </c>
      <c r="DH29" s="42"/>
      <c r="DI29" s="3"/>
      <c r="DJ29" s="37" t="str">
        <f t="shared" si="33"/>
        <v/>
      </c>
      <c r="DK29" s="3"/>
      <c r="DL29" s="3"/>
      <c r="DM29" s="4"/>
      <c r="DN29" s="4"/>
      <c r="DO29" s="6"/>
      <c r="DP29" s="6"/>
      <c r="DQ29" s="33" t="str">
        <f t="shared" si="34"/>
        <v/>
      </c>
      <c r="DR29" s="42"/>
      <c r="DS29" s="3"/>
      <c r="DT29" s="37" t="str">
        <f t="shared" si="35"/>
        <v/>
      </c>
      <c r="DU29" s="3"/>
      <c r="DV29" s="3"/>
      <c r="DW29" s="4"/>
      <c r="DX29" s="4"/>
      <c r="DY29" s="6"/>
      <c r="DZ29" s="6"/>
      <c r="EA29" s="33" t="str">
        <f t="shared" si="36"/>
        <v/>
      </c>
      <c r="EB29" s="42"/>
      <c r="EC29" s="3"/>
      <c r="ED29" s="37" t="str">
        <f t="shared" si="37"/>
        <v/>
      </c>
      <c r="EE29" s="3"/>
      <c r="EF29" s="3"/>
      <c r="EG29" s="4"/>
      <c r="EH29" s="4"/>
      <c r="EI29" s="6"/>
      <c r="EJ29" s="6"/>
      <c r="EK29" s="33" t="str">
        <f t="shared" si="38"/>
        <v/>
      </c>
      <c r="EL29" s="42"/>
      <c r="EM29" s="3"/>
      <c r="EN29" s="37" t="str">
        <f t="shared" si="39"/>
        <v/>
      </c>
      <c r="EO29" s="3"/>
      <c r="EP29" s="3"/>
      <c r="EQ29" s="4"/>
      <c r="ER29" s="4"/>
      <c r="ES29" s="6"/>
      <c r="ET29" s="6"/>
      <c r="EU29" s="33" t="str">
        <f t="shared" si="40"/>
        <v/>
      </c>
      <c r="EV29" s="42"/>
      <c r="EW29" s="3"/>
      <c r="EX29" s="37" t="str">
        <f t="shared" si="41"/>
        <v/>
      </c>
      <c r="EY29" s="3"/>
      <c r="EZ29" s="3"/>
      <c r="FA29" s="4"/>
      <c r="FB29" s="4"/>
      <c r="FC29" s="6"/>
      <c r="FD29" s="6"/>
      <c r="FE29" s="33" t="str">
        <f t="shared" si="42"/>
        <v/>
      </c>
      <c r="FF29" s="42"/>
      <c r="FG29" s="3"/>
      <c r="FH29" s="37" t="str">
        <f t="shared" si="43"/>
        <v/>
      </c>
      <c r="FI29" s="3"/>
      <c r="FJ29" s="3"/>
      <c r="FM29" s="54">
        <f t="shared" si="49"/>
        <v>0</v>
      </c>
      <c r="FN29" s="54">
        <f t="shared" si="50"/>
        <v>0</v>
      </c>
      <c r="FO29" s="471">
        <f t="shared" si="44"/>
        <v>0</v>
      </c>
      <c r="FP29" s="471">
        <f t="shared" si="45"/>
        <v>0</v>
      </c>
    </row>
    <row r="30" spans="2:172" ht="42" customHeight="1">
      <c r="B30" s="3"/>
      <c r="C30" s="3"/>
      <c r="D30" s="3"/>
      <c r="E30" s="4"/>
      <c r="F30" s="123" t="str">
        <f t="shared" si="1"/>
        <v/>
      </c>
      <c r="G30" s="123" t="str">
        <f t="shared" si="2"/>
        <v/>
      </c>
      <c r="H30" s="123" t="str">
        <f t="shared" si="3"/>
        <v/>
      </c>
      <c r="I30" s="123" t="str">
        <f t="shared" si="4"/>
        <v/>
      </c>
      <c r="J30" s="123" t="str">
        <f t="shared" si="5"/>
        <v/>
      </c>
      <c r="K30" s="123" t="str">
        <f t="shared" si="6"/>
        <v/>
      </c>
      <c r="L30" s="123" t="str">
        <f t="shared" si="7"/>
        <v/>
      </c>
      <c r="M30" s="123" t="str">
        <f t="shared" si="8"/>
        <v/>
      </c>
      <c r="N30" s="123" t="str">
        <f t="shared" si="9"/>
        <v/>
      </c>
      <c r="O30" s="123" t="str">
        <f t="shared" si="10"/>
        <v/>
      </c>
      <c r="P30" s="123" t="str">
        <f t="shared" si="11"/>
        <v/>
      </c>
      <c r="Q30" s="123" t="str">
        <f t="shared" si="12"/>
        <v/>
      </c>
      <c r="R30" s="76" t="e">
        <f t="shared" si="13"/>
        <v>#DIV/0!</v>
      </c>
      <c r="S30" s="4"/>
      <c r="T30" s="4"/>
      <c r="U30" s="4"/>
      <c r="V30" s="4"/>
      <c r="W30" s="77" t="e">
        <f t="shared" si="14"/>
        <v>#DIV/0!</v>
      </c>
      <c r="X30" s="77" t="e">
        <f t="shared" si="15"/>
        <v>#DIV/0!</v>
      </c>
      <c r="Y30" s="77" t="e" cm="1">
        <f t="array" ref="Y30">_xlfn.IFS(R30&gt;=0.8,5,R30&gt;=0.6,3,R30&gt;=0.2,1,R30&lt;0.2,0)</f>
        <v>#DIV/0!</v>
      </c>
      <c r="Z30" s="55" t="e">
        <f t="shared" si="55"/>
        <v>#DIV/0!</v>
      </c>
      <c r="AA30" s="5"/>
      <c r="AB30" s="5"/>
      <c r="AC30" s="5"/>
      <c r="AD30" s="5"/>
      <c r="AE30" s="5"/>
      <c r="AF30" s="5"/>
      <c r="AG30" s="5"/>
      <c r="AH30" s="5"/>
      <c r="AI30" s="5"/>
      <c r="AJ30" s="5"/>
      <c r="AK30" s="5"/>
      <c r="AL30" s="5"/>
      <c r="AM30" s="5"/>
      <c r="AN30" s="126" t="e">
        <f>IF(AND(Z30&gt;Summary!$C$5, Z30&lt;=Summary!$D$5),Summary!$B$5,IF(AND(Z30&gt;Summary!$C$6, Z30&lt;=Summary!$D$6),Summary!$B$6,IF(AND(Z30&gt;Summary!$C$7, Z30&lt;=Summary!$D$7),Summary!$B$7,Summary!$B$8)))</f>
        <v>#DIV/0!</v>
      </c>
      <c r="AO30" s="14"/>
      <c r="AP30" s="14"/>
      <c r="AQ30" s="14"/>
      <c r="AR30" s="14"/>
      <c r="AS30" s="14"/>
      <c r="AT30" s="29"/>
      <c r="AU30" s="4"/>
      <c r="AV30" s="4"/>
      <c r="AW30" s="6"/>
      <c r="AX30" s="6"/>
      <c r="AY30" s="33" t="str">
        <f t="shared" si="20"/>
        <v/>
      </c>
      <c r="AZ30" s="42"/>
      <c r="BA30" s="3"/>
      <c r="BB30" s="37" t="str">
        <f t="shared" si="21"/>
        <v/>
      </c>
      <c r="BC30" s="3"/>
      <c r="BD30" s="3"/>
      <c r="BE30" s="4"/>
      <c r="BF30" s="4"/>
      <c r="BG30" s="6"/>
      <c r="BH30" s="6"/>
      <c r="BI30" s="33" t="str">
        <f t="shared" si="22"/>
        <v/>
      </c>
      <c r="BJ30" s="42"/>
      <c r="BK30" s="3"/>
      <c r="BL30" s="37" t="str">
        <f t="shared" si="23"/>
        <v/>
      </c>
      <c r="BM30" s="3"/>
      <c r="BN30" s="3"/>
      <c r="BO30" s="4"/>
      <c r="BP30" s="4"/>
      <c r="BQ30" s="6"/>
      <c r="BR30" s="6"/>
      <c r="BS30" s="33" t="str">
        <f t="shared" si="24"/>
        <v/>
      </c>
      <c r="BT30" s="42"/>
      <c r="BU30" s="3"/>
      <c r="BV30" s="37" t="str">
        <f t="shared" si="25"/>
        <v/>
      </c>
      <c r="BW30" s="3"/>
      <c r="BX30" s="3"/>
      <c r="BY30" s="4"/>
      <c r="BZ30" s="4"/>
      <c r="CA30" s="6"/>
      <c r="CB30" s="6"/>
      <c r="CC30" s="33" t="str">
        <f t="shared" si="26"/>
        <v/>
      </c>
      <c r="CD30" s="42"/>
      <c r="CE30" s="3"/>
      <c r="CF30" s="37" t="str">
        <f t="shared" si="27"/>
        <v/>
      </c>
      <c r="CG30" s="3"/>
      <c r="CH30" s="3"/>
      <c r="CI30" s="4"/>
      <c r="CJ30" s="4"/>
      <c r="CK30" s="6"/>
      <c r="CL30" s="6"/>
      <c r="CM30" s="33" t="str">
        <f t="shared" si="28"/>
        <v/>
      </c>
      <c r="CN30" s="42"/>
      <c r="CO30" s="3"/>
      <c r="CP30" s="37" t="str">
        <f t="shared" si="29"/>
        <v/>
      </c>
      <c r="CQ30" s="3"/>
      <c r="CR30" s="3"/>
      <c r="CS30" s="4"/>
      <c r="CT30" s="4"/>
      <c r="CU30" s="6"/>
      <c r="CV30" s="6"/>
      <c r="CW30" s="33" t="str">
        <f t="shared" si="30"/>
        <v/>
      </c>
      <c r="CX30" s="42"/>
      <c r="CY30" s="3"/>
      <c r="CZ30" s="37" t="str">
        <f t="shared" si="31"/>
        <v/>
      </c>
      <c r="DA30" s="3"/>
      <c r="DB30" s="3"/>
      <c r="DC30" s="4"/>
      <c r="DD30" s="4"/>
      <c r="DE30" s="6"/>
      <c r="DF30" s="6"/>
      <c r="DG30" s="33" t="str">
        <f t="shared" si="32"/>
        <v/>
      </c>
      <c r="DH30" s="42"/>
      <c r="DI30" s="3"/>
      <c r="DJ30" s="37" t="str">
        <f t="shared" si="33"/>
        <v/>
      </c>
      <c r="DK30" s="3"/>
      <c r="DL30" s="3"/>
      <c r="DM30" s="4"/>
      <c r="DN30" s="4"/>
      <c r="DO30" s="6"/>
      <c r="DP30" s="6"/>
      <c r="DQ30" s="33" t="str">
        <f t="shared" si="34"/>
        <v/>
      </c>
      <c r="DR30" s="42"/>
      <c r="DS30" s="3"/>
      <c r="DT30" s="37" t="str">
        <f t="shared" si="35"/>
        <v/>
      </c>
      <c r="DU30" s="3"/>
      <c r="DV30" s="3"/>
      <c r="DW30" s="4"/>
      <c r="DX30" s="4"/>
      <c r="DY30" s="6"/>
      <c r="DZ30" s="6"/>
      <c r="EA30" s="33" t="str">
        <f t="shared" si="36"/>
        <v/>
      </c>
      <c r="EB30" s="42"/>
      <c r="EC30" s="3"/>
      <c r="ED30" s="37" t="str">
        <f t="shared" si="37"/>
        <v/>
      </c>
      <c r="EE30" s="3"/>
      <c r="EF30" s="3"/>
      <c r="EG30" s="4"/>
      <c r="EH30" s="4"/>
      <c r="EI30" s="6"/>
      <c r="EJ30" s="6"/>
      <c r="EK30" s="33" t="str">
        <f t="shared" si="38"/>
        <v/>
      </c>
      <c r="EL30" s="42"/>
      <c r="EM30" s="3"/>
      <c r="EN30" s="37" t="str">
        <f t="shared" si="39"/>
        <v/>
      </c>
      <c r="EO30" s="3"/>
      <c r="EP30" s="3"/>
      <c r="EQ30" s="4"/>
      <c r="ER30" s="4"/>
      <c r="ES30" s="6"/>
      <c r="ET30" s="6"/>
      <c r="EU30" s="33" t="str">
        <f t="shared" si="40"/>
        <v/>
      </c>
      <c r="EV30" s="42"/>
      <c r="EW30" s="3"/>
      <c r="EX30" s="37" t="str">
        <f t="shared" si="41"/>
        <v/>
      </c>
      <c r="EY30" s="3"/>
      <c r="EZ30" s="3"/>
      <c r="FA30" s="4"/>
      <c r="FB30" s="4"/>
      <c r="FC30" s="6"/>
      <c r="FD30" s="6"/>
      <c r="FE30" s="33" t="str">
        <f t="shared" si="42"/>
        <v/>
      </c>
      <c r="FF30" s="42"/>
      <c r="FG30" s="3"/>
      <c r="FH30" s="37" t="str">
        <f t="shared" si="43"/>
        <v/>
      </c>
      <c r="FI30" s="3"/>
      <c r="FJ30" s="3"/>
      <c r="FM30" s="54">
        <f t="shared" si="49"/>
        <v>0</v>
      </c>
      <c r="FN30" s="54">
        <f t="shared" si="50"/>
        <v>0</v>
      </c>
      <c r="FO30" s="471">
        <f t="shared" si="44"/>
        <v>0</v>
      </c>
      <c r="FP30" s="471">
        <f t="shared" si="45"/>
        <v>0</v>
      </c>
    </row>
    <row r="31" spans="2:172" ht="42" customHeight="1">
      <c r="B31" s="3"/>
      <c r="C31" s="3"/>
      <c r="D31" s="3"/>
      <c r="E31" s="4"/>
      <c r="F31" s="123" t="str">
        <f t="shared" si="1"/>
        <v/>
      </c>
      <c r="G31" s="123" t="str">
        <f t="shared" si="2"/>
        <v/>
      </c>
      <c r="H31" s="123" t="str">
        <f t="shared" si="3"/>
        <v/>
      </c>
      <c r="I31" s="123" t="str">
        <f t="shared" si="4"/>
        <v/>
      </c>
      <c r="J31" s="123" t="str">
        <f t="shared" si="5"/>
        <v/>
      </c>
      <c r="K31" s="123" t="str">
        <f t="shared" si="6"/>
        <v/>
      </c>
      <c r="L31" s="123" t="str">
        <f t="shared" si="7"/>
        <v/>
      </c>
      <c r="M31" s="123" t="str">
        <f t="shared" si="8"/>
        <v/>
      </c>
      <c r="N31" s="123" t="str">
        <f t="shared" si="9"/>
        <v/>
      </c>
      <c r="O31" s="123" t="str">
        <f t="shared" si="10"/>
        <v/>
      </c>
      <c r="P31" s="123" t="str">
        <f t="shared" si="11"/>
        <v/>
      </c>
      <c r="Q31" s="123" t="str">
        <f t="shared" si="12"/>
        <v/>
      </c>
      <c r="R31" s="76" t="e">
        <f t="shared" si="13"/>
        <v>#DIV/0!</v>
      </c>
      <c r="S31" s="4"/>
      <c r="T31" s="4"/>
      <c r="U31" s="4"/>
      <c r="V31" s="4"/>
      <c r="W31" s="77" t="e">
        <f t="shared" si="14"/>
        <v>#DIV/0!</v>
      </c>
      <c r="X31" s="77" t="e">
        <f t="shared" si="15"/>
        <v>#DIV/0!</v>
      </c>
      <c r="Y31" s="77" t="e" cm="1">
        <f t="array" ref="Y31">_xlfn.IFS(R31&gt;=0.8,5,R31&gt;=0.6,3,R31&gt;=0.2,1,R31&lt;0.2,0)</f>
        <v>#DIV/0!</v>
      </c>
      <c r="Z31" s="55" t="e">
        <f t="shared" si="55"/>
        <v>#DIV/0!</v>
      </c>
      <c r="AA31" s="5"/>
      <c r="AB31" s="5"/>
      <c r="AC31" s="5"/>
      <c r="AD31" s="5"/>
      <c r="AE31" s="5"/>
      <c r="AF31" s="5"/>
      <c r="AG31" s="5"/>
      <c r="AH31" s="5"/>
      <c r="AI31" s="5"/>
      <c r="AJ31" s="5"/>
      <c r="AK31" s="5"/>
      <c r="AL31" s="5"/>
      <c r="AM31" s="5"/>
      <c r="AN31" s="126" t="e">
        <f>IF(AND(Z31&gt;Summary!$C$5, Z31&lt;=Summary!$D$5),Summary!$B$5,IF(AND(Z31&gt;Summary!$C$6, Z31&lt;=Summary!$D$6),Summary!$B$6,IF(AND(Z31&gt;Summary!$C$7, Z31&lt;=Summary!$D$7),Summary!$B$7,Summary!$B$8)))</f>
        <v>#DIV/0!</v>
      </c>
      <c r="AO31" s="14"/>
      <c r="AP31" s="14"/>
      <c r="AQ31" s="14"/>
      <c r="AR31" s="14"/>
      <c r="AS31" s="14"/>
      <c r="AT31" s="29"/>
      <c r="AU31" s="4"/>
      <c r="AV31" s="4"/>
      <c r="AW31" s="6"/>
      <c r="AX31" s="6"/>
      <c r="AY31" s="33" t="str">
        <f t="shared" si="20"/>
        <v/>
      </c>
      <c r="AZ31" s="42"/>
      <c r="BA31" s="3"/>
      <c r="BB31" s="37" t="str">
        <f t="shared" si="21"/>
        <v/>
      </c>
      <c r="BC31" s="3"/>
      <c r="BD31" s="3"/>
      <c r="BE31" s="4"/>
      <c r="BF31" s="4"/>
      <c r="BG31" s="6"/>
      <c r="BH31" s="6"/>
      <c r="BI31" s="33" t="str">
        <f t="shared" si="22"/>
        <v/>
      </c>
      <c r="BJ31" s="42"/>
      <c r="BK31" s="3"/>
      <c r="BL31" s="37" t="str">
        <f t="shared" si="23"/>
        <v/>
      </c>
      <c r="BM31" s="3"/>
      <c r="BN31" s="3"/>
      <c r="BO31" s="4"/>
      <c r="BP31" s="4"/>
      <c r="BQ31" s="6"/>
      <c r="BR31" s="6"/>
      <c r="BS31" s="33" t="str">
        <f t="shared" si="24"/>
        <v/>
      </c>
      <c r="BT31" s="42"/>
      <c r="BU31" s="3"/>
      <c r="BV31" s="37" t="str">
        <f t="shared" si="25"/>
        <v/>
      </c>
      <c r="BW31" s="3"/>
      <c r="BX31" s="3"/>
      <c r="BY31" s="4"/>
      <c r="BZ31" s="4"/>
      <c r="CA31" s="6"/>
      <c r="CB31" s="6"/>
      <c r="CC31" s="33" t="str">
        <f t="shared" si="26"/>
        <v/>
      </c>
      <c r="CD31" s="42"/>
      <c r="CE31" s="3"/>
      <c r="CF31" s="37" t="str">
        <f t="shared" si="27"/>
        <v/>
      </c>
      <c r="CG31" s="3"/>
      <c r="CH31" s="3"/>
      <c r="CI31" s="4"/>
      <c r="CJ31" s="4"/>
      <c r="CK31" s="6"/>
      <c r="CL31" s="6"/>
      <c r="CM31" s="33" t="str">
        <f t="shared" si="28"/>
        <v/>
      </c>
      <c r="CN31" s="42"/>
      <c r="CO31" s="3"/>
      <c r="CP31" s="37" t="str">
        <f t="shared" si="29"/>
        <v/>
      </c>
      <c r="CQ31" s="3"/>
      <c r="CR31" s="3"/>
      <c r="CS31" s="4"/>
      <c r="CT31" s="4"/>
      <c r="CU31" s="6"/>
      <c r="CV31" s="6"/>
      <c r="CW31" s="33" t="str">
        <f t="shared" si="30"/>
        <v/>
      </c>
      <c r="CX31" s="42"/>
      <c r="CY31" s="3"/>
      <c r="CZ31" s="37" t="str">
        <f t="shared" si="31"/>
        <v/>
      </c>
      <c r="DA31" s="3"/>
      <c r="DB31" s="3"/>
      <c r="DC31" s="4"/>
      <c r="DD31" s="4"/>
      <c r="DE31" s="6"/>
      <c r="DF31" s="6"/>
      <c r="DG31" s="33" t="str">
        <f t="shared" si="32"/>
        <v/>
      </c>
      <c r="DH31" s="42"/>
      <c r="DI31" s="3"/>
      <c r="DJ31" s="37" t="str">
        <f t="shared" si="33"/>
        <v/>
      </c>
      <c r="DK31" s="3"/>
      <c r="DL31" s="3"/>
      <c r="DM31" s="4"/>
      <c r="DN31" s="4"/>
      <c r="DO31" s="6"/>
      <c r="DP31" s="6"/>
      <c r="DQ31" s="33" t="str">
        <f t="shared" si="34"/>
        <v/>
      </c>
      <c r="DR31" s="42"/>
      <c r="DS31" s="3"/>
      <c r="DT31" s="37" t="str">
        <f t="shared" si="35"/>
        <v/>
      </c>
      <c r="DU31" s="3"/>
      <c r="DV31" s="3"/>
      <c r="DW31" s="4"/>
      <c r="DX31" s="4"/>
      <c r="DY31" s="6"/>
      <c r="DZ31" s="6"/>
      <c r="EA31" s="33" t="str">
        <f t="shared" si="36"/>
        <v/>
      </c>
      <c r="EB31" s="42"/>
      <c r="EC31" s="3"/>
      <c r="ED31" s="37" t="str">
        <f t="shared" si="37"/>
        <v/>
      </c>
      <c r="EE31" s="3"/>
      <c r="EF31" s="3"/>
      <c r="EG31" s="4"/>
      <c r="EH31" s="4"/>
      <c r="EI31" s="6"/>
      <c r="EJ31" s="6"/>
      <c r="EK31" s="33" t="str">
        <f t="shared" si="38"/>
        <v/>
      </c>
      <c r="EL31" s="42"/>
      <c r="EM31" s="3"/>
      <c r="EN31" s="37" t="str">
        <f t="shared" si="39"/>
        <v/>
      </c>
      <c r="EO31" s="3"/>
      <c r="EP31" s="3"/>
      <c r="EQ31" s="4"/>
      <c r="ER31" s="4"/>
      <c r="ES31" s="6"/>
      <c r="ET31" s="6"/>
      <c r="EU31" s="33" t="str">
        <f t="shared" si="40"/>
        <v/>
      </c>
      <c r="EV31" s="42"/>
      <c r="EW31" s="3"/>
      <c r="EX31" s="37" t="str">
        <f t="shared" si="41"/>
        <v/>
      </c>
      <c r="EY31" s="3"/>
      <c r="EZ31" s="3"/>
      <c r="FA31" s="4"/>
      <c r="FB31" s="4"/>
      <c r="FC31" s="6"/>
      <c r="FD31" s="6"/>
      <c r="FE31" s="33" t="str">
        <f t="shared" si="42"/>
        <v/>
      </c>
      <c r="FF31" s="42"/>
      <c r="FG31" s="3"/>
      <c r="FH31" s="37" t="str">
        <f t="shared" si="43"/>
        <v/>
      </c>
      <c r="FI31" s="3"/>
      <c r="FJ31" s="3"/>
      <c r="FM31" s="54">
        <f t="shared" si="49"/>
        <v>0</v>
      </c>
      <c r="FN31" s="54">
        <f t="shared" si="50"/>
        <v>0</v>
      </c>
      <c r="FO31" s="471">
        <f t="shared" si="44"/>
        <v>0</v>
      </c>
      <c r="FP31" s="471">
        <f t="shared" si="45"/>
        <v>0</v>
      </c>
    </row>
    <row r="32" spans="2:172">
      <c r="E32" s="52"/>
      <c r="S32" s="52"/>
      <c r="T32" s="52"/>
      <c r="U32" s="52"/>
      <c r="V32" s="52"/>
      <c r="W32" s="52"/>
      <c r="X32" s="52"/>
      <c r="Y32" s="52"/>
      <c r="Z32" s="52"/>
    </row>
    <row r="33" spans="2:46" ht="42" customHeight="1">
      <c r="B33" s="27" t="s">
        <v>444</v>
      </c>
      <c r="C33" s="27" t="s">
        <v>445</v>
      </c>
      <c r="D33" s="27"/>
      <c r="E33" s="28"/>
      <c r="F33" s="28" t="s">
        <v>182</v>
      </c>
      <c r="G33" s="28" t="s">
        <v>182</v>
      </c>
      <c r="H33" s="28" t="s">
        <v>182</v>
      </c>
      <c r="I33" s="28" t="s">
        <v>182</v>
      </c>
      <c r="J33" s="28" t="s">
        <v>182</v>
      </c>
      <c r="K33" s="28" t="s">
        <v>182</v>
      </c>
      <c r="L33" s="28" t="s">
        <v>182</v>
      </c>
      <c r="M33" s="28" t="s">
        <v>182</v>
      </c>
      <c r="N33" s="28" t="s">
        <v>182</v>
      </c>
      <c r="O33" s="28" t="s">
        <v>182</v>
      </c>
      <c r="P33" s="28" t="s">
        <v>182</v>
      </c>
      <c r="Q33" s="28" t="s">
        <v>182</v>
      </c>
      <c r="R33" s="28" t="s">
        <v>182</v>
      </c>
      <c r="S33" s="28"/>
      <c r="T33" s="28"/>
      <c r="U33" s="28"/>
      <c r="V33" s="28"/>
      <c r="W33" s="28" t="s">
        <v>182</v>
      </c>
      <c r="X33" s="28" t="s">
        <v>182</v>
      </c>
      <c r="Y33" s="28" t="s">
        <v>182</v>
      </c>
      <c r="Z33" s="28" t="s">
        <v>182</v>
      </c>
      <c r="AA33" s="29"/>
      <c r="AB33" s="29"/>
      <c r="AC33" s="29"/>
      <c r="AD33" s="29"/>
      <c r="AE33" s="29"/>
      <c r="AF33" s="29"/>
      <c r="AG33" s="29"/>
      <c r="AH33" s="29"/>
      <c r="AI33" s="29"/>
      <c r="AJ33" s="29"/>
      <c r="AK33" s="29"/>
      <c r="AL33" s="29"/>
      <c r="AM33" s="29"/>
      <c r="AN33" s="29"/>
      <c r="AO33" s="14"/>
      <c r="AP33" s="44"/>
      <c r="AQ33" s="44"/>
      <c r="AR33" s="44"/>
      <c r="AS33" s="44"/>
      <c r="AT33" s="44"/>
    </row>
    <row r="34" spans="2:46" ht="42" customHeight="1">
      <c r="B34" s="27" t="s">
        <v>446</v>
      </c>
      <c r="C34" s="27" t="s">
        <v>445</v>
      </c>
      <c r="D34" s="27"/>
      <c r="E34" s="28"/>
      <c r="F34" s="28" t="s">
        <v>182</v>
      </c>
      <c r="G34" s="28" t="s">
        <v>182</v>
      </c>
      <c r="H34" s="28" t="s">
        <v>182</v>
      </c>
      <c r="I34" s="28" t="s">
        <v>182</v>
      </c>
      <c r="J34" s="28" t="s">
        <v>182</v>
      </c>
      <c r="K34" s="28" t="s">
        <v>182</v>
      </c>
      <c r="L34" s="28" t="s">
        <v>182</v>
      </c>
      <c r="M34" s="28" t="s">
        <v>182</v>
      </c>
      <c r="N34" s="28" t="s">
        <v>182</v>
      </c>
      <c r="O34" s="28" t="s">
        <v>182</v>
      </c>
      <c r="P34" s="28" t="s">
        <v>182</v>
      </c>
      <c r="Q34" s="28" t="s">
        <v>182</v>
      </c>
      <c r="R34" s="28" t="s">
        <v>182</v>
      </c>
      <c r="S34" s="28"/>
      <c r="T34" s="28"/>
      <c r="U34" s="28"/>
      <c r="V34" s="28"/>
      <c r="W34" s="28" t="s">
        <v>182</v>
      </c>
      <c r="X34" s="28" t="s">
        <v>182</v>
      </c>
      <c r="Y34" s="28" t="s">
        <v>182</v>
      </c>
      <c r="Z34" s="28" t="s">
        <v>182</v>
      </c>
      <c r="AA34" s="29"/>
      <c r="AB34" s="29"/>
      <c r="AC34" s="29"/>
      <c r="AD34" s="29"/>
      <c r="AE34" s="29"/>
      <c r="AF34" s="29"/>
      <c r="AG34" s="29"/>
      <c r="AH34" s="29"/>
      <c r="AI34" s="29"/>
      <c r="AJ34" s="29"/>
      <c r="AK34" s="29"/>
      <c r="AL34" s="29"/>
      <c r="AM34" s="29"/>
      <c r="AN34" s="29"/>
      <c r="AO34" s="14"/>
      <c r="AP34" s="44"/>
      <c r="AQ34" s="44"/>
      <c r="AR34" s="44"/>
      <c r="AS34" s="44"/>
      <c r="AT34" s="44"/>
    </row>
    <row r="35" spans="2:46" ht="42" customHeight="1">
      <c r="B35" s="3"/>
      <c r="C35" s="27"/>
      <c r="D35" s="27"/>
      <c r="E35" s="28"/>
      <c r="F35" s="4"/>
      <c r="G35" s="4"/>
      <c r="H35" s="4"/>
      <c r="I35" s="4"/>
      <c r="J35" s="4"/>
      <c r="K35" s="4"/>
      <c r="L35" s="4"/>
      <c r="M35" s="4"/>
      <c r="N35" s="4"/>
      <c r="O35" s="4"/>
      <c r="P35" s="4"/>
      <c r="Q35" s="4"/>
      <c r="R35" s="4"/>
      <c r="S35" s="28"/>
      <c r="T35" s="28"/>
      <c r="U35" s="28"/>
      <c r="V35" s="28"/>
      <c r="W35" s="28"/>
      <c r="X35" s="28"/>
      <c r="Y35" s="28"/>
      <c r="Z35" s="28"/>
      <c r="AA35" s="5"/>
      <c r="AB35" s="5"/>
      <c r="AC35" s="5"/>
      <c r="AD35" s="5"/>
      <c r="AE35" s="5"/>
      <c r="AF35" s="5"/>
      <c r="AG35" s="5"/>
      <c r="AH35" s="5"/>
      <c r="AI35" s="5"/>
      <c r="AJ35" s="5"/>
      <c r="AK35" s="5"/>
      <c r="AL35" s="29"/>
      <c r="AM35" s="29"/>
      <c r="AN35" s="5"/>
      <c r="AO35" s="14"/>
      <c r="AP35" s="44"/>
      <c r="AQ35" s="44"/>
      <c r="AR35" s="44"/>
      <c r="AS35" s="44"/>
      <c r="AT35" s="44"/>
    </row>
  </sheetData>
  <autoFilter ref="B9:FJ31" xr:uid="{B8D1D522-9189-46F9-AB4E-136B3A8DFFFE}"/>
  <sortState xmlns:xlrd2="http://schemas.microsoft.com/office/spreadsheetml/2017/richdata2" ref="B10:C27">
    <sortCondition ref="B10:B27"/>
  </sortState>
  <mergeCells count="2">
    <mergeCell ref="AC8:AD8"/>
    <mergeCell ref="AE8:AF8"/>
  </mergeCells>
  <phoneticPr fontId="10"/>
  <conditionalFormatting sqref="Z10:Z31">
    <cfRule type="cellIs" dxfId="1036" priority="19" operator="lessThan">
      <formula>60</formula>
    </cfRule>
  </conditionalFormatting>
  <conditionalFormatting sqref="AV10:AV31">
    <cfRule type="cellIs" dxfId="1035" priority="27" operator="equal">
      <formula>"×"</formula>
    </cfRule>
  </conditionalFormatting>
  <conditionalFormatting sqref="AY10:AY31">
    <cfRule type="cellIs" dxfId="1034" priority="38" operator="lessThan">
      <formula>0.6</formula>
    </cfRule>
  </conditionalFormatting>
  <conditionalFormatting sqref="BB10:BB31">
    <cfRule type="cellIs" dxfId="1033" priority="36" operator="greaterThan">
      <formula>8</formula>
    </cfRule>
  </conditionalFormatting>
  <conditionalFormatting sqref="BD10:BD31 BN10:BN31 BX10:BX31 CH10:CH31 CR10:CR31 DB10:DB31 DL10:DL31 DV10:DV31 EF10:EF31 EP10:EP31 EZ10:EZ31 FJ10:FJ31">
    <cfRule type="cellIs" dxfId="1032" priority="37" operator="notEqual">
      <formula>BC10</formula>
    </cfRule>
  </conditionalFormatting>
  <conditionalFormatting sqref="BF10:BF31">
    <cfRule type="cellIs" dxfId="1031" priority="26" operator="equal">
      <formula>"×"</formula>
    </cfRule>
  </conditionalFormatting>
  <conditionalFormatting sqref="BI10:BI31">
    <cfRule type="cellIs" dxfId="1030" priority="29" operator="lessThan">
      <formula>0.6</formula>
    </cfRule>
  </conditionalFormatting>
  <conditionalFormatting sqref="BL10:BL31">
    <cfRule type="cellIs" dxfId="1029" priority="28" operator="greaterThan">
      <formula>8</formula>
    </cfRule>
  </conditionalFormatting>
  <conditionalFormatting sqref="BP10:BP31">
    <cfRule type="cellIs" dxfId="1028" priority="25" operator="equal">
      <formula>"×"</formula>
    </cfRule>
  </conditionalFormatting>
  <conditionalFormatting sqref="BS10:BS31">
    <cfRule type="cellIs" dxfId="1027" priority="31" operator="lessThan">
      <formula>0.6</formula>
    </cfRule>
  </conditionalFormatting>
  <conditionalFormatting sqref="BV10:BV31">
    <cfRule type="cellIs" dxfId="1026" priority="30" operator="greaterThan">
      <formula>8</formula>
    </cfRule>
  </conditionalFormatting>
  <conditionalFormatting sqref="BZ10:BZ31">
    <cfRule type="cellIs" dxfId="1025" priority="24" operator="equal">
      <formula>"×"</formula>
    </cfRule>
  </conditionalFormatting>
  <conditionalFormatting sqref="CC10:CC31">
    <cfRule type="cellIs" dxfId="1024" priority="33" operator="lessThan">
      <formula>0.6</formula>
    </cfRule>
  </conditionalFormatting>
  <conditionalFormatting sqref="CF10:CF31">
    <cfRule type="cellIs" dxfId="1023" priority="32" operator="greaterThan">
      <formula>8</formula>
    </cfRule>
  </conditionalFormatting>
  <conditionalFormatting sqref="CJ10:CJ31">
    <cfRule type="cellIs" dxfId="1022" priority="23" operator="equal">
      <formula>"×"</formula>
    </cfRule>
  </conditionalFormatting>
  <conditionalFormatting sqref="CM10:CM31">
    <cfRule type="cellIs" dxfId="1021" priority="35" operator="lessThan">
      <formula>0.6</formula>
    </cfRule>
  </conditionalFormatting>
  <conditionalFormatting sqref="CP10:CP31">
    <cfRule type="cellIs" dxfId="1020" priority="34" operator="greaterThan">
      <formula>8</formula>
    </cfRule>
  </conditionalFormatting>
  <conditionalFormatting sqref="CT10:CT31">
    <cfRule type="cellIs" dxfId="1019" priority="20" operator="equal">
      <formula>"×"</formula>
    </cfRule>
  </conditionalFormatting>
  <conditionalFormatting sqref="CW10:CW31">
    <cfRule type="cellIs" dxfId="1018" priority="22" operator="lessThan">
      <formula>0.6</formula>
    </cfRule>
  </conditionalFormatting>
  <conditionalFormatting sqref="CZ10:CZ31">
    <cfRule type="cellIs" dxfId="1017" priority="21" operator="greaterThan">
      <formula>8</formula>
    </cfRule>
  </conditionalFormatting>
  <conditionalFormatting sqref="DD10:DD31">
    <cfRule type="cellIs" dxfId="1016" priority="8" operator="equal">
      <formula>"×"</formula>
    </cfRule>
  </conditionalFormatting>
  <conditionalFormatting sqref="DG10:DG31">
    <cfRule type="cellIs" dxfId="1015" priority="18" operator="lessThan">
      <formula>0.6</formula>
    </cfRule>
  </conditionalFormatting>
  <conditionalFormatting sqref="DJ10:DJ31">
    <cfRule type="cellIs" dxfId="1014" priority="17" operator="greaterThan">
      <formula>8</formula>
    </cfRule>
  </conditionalFormatting>
  <conditionalFormatting sqref="DN10:DN31">
    <cfRule type="cellIs" dxfId="1013" priority="7" operator="equal">
      <formula>"×"</formula>
    </cfRule>
  </conditionalFormatting>
  <conditionalFormatting sqref="DQ10:DQ31">
    <cfRule type="cellIs" dxfId="1012" priority="10" operator="lessThan">
      <formula>0.6</formula>
    </cfRule>
  </conditionalFormatting>
  <conditionalFormatting sqref="DT10:DT31">
    <cfRule type="cellIs" dxfId="1011" priority="9" operator="greaterThan">
      <formula>8</formula>
    </cfRule>
  </conditionalFormatting>
  <conditionalFormatting sqref="DX10:DX31">
    <cfRule type="cellIs" dxfId="1010" priority="6" operator="equal">
      <formula>"×"</formula>
    </cfRule>
  </conditionalFormatting>
  <conditionalFormatting sqref="EA10:EA31">
    <cfRule type="cellIs" dxfId="1009" priority="12" operator="lessThan">
      <formula>0.6</formula>
    </cfRule>
  </conditionalFormatting>
  <conditionalFormatting sqref="ED10:ED31">
    <cfRule type="cellIs" dxfId="1008" priority="11" operator="greaterThan">
      <formula>8</formula>
    </cfRule>
  </conditionalFormatting>
  <conditionalFormatting sqref="EH10:EH31">
    <cfRule type="cellIs" dxfId="1007" priority="5" operator="equal">
      <formula>"×"</formula>
    </cfRule>
  </conditionalFormatting>
  <conditionalFormatting sqref="EK10:EK31">
    <cfRule type="cellIs" dxfId="1006" priority="14" operator="lessThan">
      <formula>0.6</formula>
    </cfRule>
  </conditionalFormatting>
  <conditionalFormatting sqref="EN10:EN31">
    <cfRule type="cellIs" dxfId="1005" priority="13" operator="greaterThan">
      <formula>8</formula>
    </cfRule>
  </conditionalFormatting>
  <conditionalFormatting sqref="ER10:ER31">
    <cfRule type="cellIs" dxfId="1004" priority="4" operator="equal">
      <formula>"×"</formula>
    </cfRule>
  </conditionalFormatting>
  <conditionalFormatting sqref="EU10:EU31">
    <cfRule type="cellIs" dxfId="1003" priority="16" operator="lessThan">
      <formula>0.6</formula>
    </cfRule>
  </conditionalFormatting>
  <conditionalFormatting sqref="EX10:EX31">
    <cfRule type="cellIs" dxfId="1002" priority="15" operator="greaterThan">
      <formula>8</formula>
    </cfRule>
  </conditionalFormatting>
  <conditionalFormatting sqref="FB10:FB31">
    <cfRule type="cellIs" dxfId="1001" priority="1" operator="equal">
      <formula>"×"</formula>
    </cfRule>
  </conditionalFormatting>
  <conditionalFormatting sqref="FE10:FE31">
    <cfRule type="cellIs" dxfId="1000" priority="3" operator="lessThan">
      <formula>0.6</formula>
    </cfRule>
  </conditionalFormatting>
  <conditionalFormatting sqref="FH10:FH31">
    <cfRule type="cellIs" dxfId="999" priority="2" operator="greaterThan">
      <formula>8</formula>
    </cfRule>
  </conditionalFormatting>
  <dataValidations count="2">
    <dataValidation type="list" allowBlank="1" showInputMessage="1" showErrorMessage="1" sqref="AV10:AV31 BF10:BF31 BP10:BP31 BZ10:BZ31 CJ10:CJ31 CT10:CT31 DD10:DD31 DN10:DN31 DX10:DX31 EH10:EH31 ER10:ER31 FB10:FB31" xr:uid="{E1C973DE-2A6C-4781-90B6-3B5575B1D30D}">
      <formula1>"○,×"</formula1>
    </dataValidation>
    <dataValidation type="list" allowBlank="1" showInputMessage="1" showErrorMessage="1" sqref="AO17:AP31 AQ25:AS31 AE24 AC24 AO10:AS15 AQ17:AS23 AQ24 AO33:AT35" xr:uid="{B9549F65-FE51-4AEA-ABB8-C974F79C800C}">
      <formula1>"○,△,×"</formula1>
    </dataValidation>
  </dataValidation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65485-6D32-4FC5-9323-0B02EFD0A48B}">
  <dimension ref="B2:FR35"/>
  <sheetViews>
    <sheetView showGridLines="0" zoomScale="85" zoomScaleNormal="85" workbookViewId="0">
      <pane xSplit="5" ySplit="9" topLeftCell="Z19" activePane="bottomRight" state="frozen"/>
      <selection pane="bottomRight" activeCell="Z20" sqref="Z20"/>
      <selection pane="bottomLeft" activeCell="A10" sqref="A10"/>
      <selection pane="topRight" activeCell="F1" sqref="F1"/>
    </sheetView>
  </sheetViews>
  <sheetFormatPr defaultRowHeight="11.1" outlineLevelCol="1"/>
  <cols>
    <col min="1" max="1" width="2.5703125" customWidth="1"/>
    <col min="2" max="2" width="24.42578125" bestFit="1" customWidth="1"/>
    <col min="3" max="3" width="8.140625" bestFit="1" customWidth="1"/>
    <col min="4" max="4" width="8.140625" customWidth="1"/>
    <col min="5" max="5" width="7.85546875" customWidth="1"/>
    <col min="6" max="12" width="6.5703125" customWidth="1" outlineLevel="1"/>
    <col min="13" max="13" width="8.5703125" bestFit="1" customWidth="1" outlineLevel="1"/>
    <col min="14" max="15" width="6.5703125" hidden="1" customWidth="1" outlineLevel="1"/>
    <col min="16" max="16" width="9.7109375" hidden="1" customWidth="1" outlineLevel="1"/>
    <col min="17" max="17" width="10" hidden="1" customWidth="1" outlineLevel="1"/>
    <col min="18" max="18" width="15.85546875" bestFit="1" customWidth="1" outlineLevel="1"/>
    <col min="19" max="19" width="10.140625" hidden="1" customWidth="1" outlineLevel="1"/>
    <col min="20" max="20" width="12.140625" hidden="1" customWidth="1" outlineLevel="1"/>
    <col min="21" max="21" width="9.140625" hidden="1" customWidth="1" outlineLevel="1"/>
    <col min="22" max="22" width="10.140625" hidden="1" customWidth="1" outlineLevel="1"/>
    <col min="23" max="25" width="7.85546875" customWidth="1"/>
    <col min="26" max="26" width="11.7109375" customWidth="1"/>
    <col min="27" max="28" width="35.42578125" customWidth="1"/>
    <col min="29" max="29" width="10.140625" customWidth="1"/>
    <col min="30" max="30" width="35.42578125" customWidth="1"/>
    <col min="31" max="31" width="9.140625" customWidth="1"/>
    <col min="32" max="32" width="35.42578125" customWidth="1"/>
    <col min="33" max="33" width="13" bestFit="1" customWidth="1"/>
    <col min="34" max="34" width="13.42578125" bestFit="1" customWidth="1"/>
    <col min="35" max="35" width="10.42578125" bestFit="1" customWidth="1"/>
    <col min="36" max="36" width="13.42578125" bestFit="1" customWidth="1"/>
    <col min="37" max="37" width="9.7109375" bestFit="1" customWidth="1"/>
    <col min="38" max="39" width="51.7109375" customWidth="1"/>
    <col min="40" max="40" width="10.5703125" bestFit="1" customWidth="1"/>
    <col min="41" max="45" width="11" customWidth="1"/>
    <col min="46" max="46" width="39.7109375" customWidth="1"/>
    <col min="47" max="166" width="10.5703125" customWidth="1"/>
  </cols>
  <sheetData>
    <row r="2" spans="2:174" ht="15">
      <c r="B2" s="25" t="s">
        <v>113</v>
      </c>
      <c r="C2" s="25"/>
      <c r="D2" s="25"/>
      <c r="E2" s="25"/>
      <c r="F2" s="32" t="s">
        <v>114</v>
      </c>
      <c r="G2" s="16"/>
      <c r="H2" s="16"/>
      <c r="I2" s="16"/>
      <c r="J2" s="16"/>
      <c r="K2" s="16"/>
      <c r="L2" s="70"/>
      <c r="M2" s="16"/>
      <c r="N2" s="16"/>
      <c r="O2" s="71"/>
      <c r="P2" s="1"/>
      <c r="S2" s="25"/>
      <c r="T2" s="25"/>
      <c r="U2" s="25"/>
      <c r="V2" s="25"/>
      <c r="W2" s="25"/>
      <c r="X2" s="25"/>
      <c r="Y2" s="25"/>
      <c r="Z2" s="25"/>
      <c r="AB2" s="54"/>
      <c r="AC2" s="54"/>
      <c r="AD2" s="54"/>
      <c r="AE2" s="54"/>
      <c r="AF2" s="54" t="s">
        <v>187</v>
      </c>
      <c r="AG2" s="54"/>
      <c r="AH2" s="54"/>
      <c r="AI2" s="54"/>
      <c r="AJ2" s="54"/>
      <c r="AK2" s="54"/>
      <c r="AL2" s="54"/>
      <c r="AM2" s="54"/>
      <c r="AN2" s="54"/>
    </row>
    <row r="3" spans="2:174">
      <c r="B3" s="24" t="s">
        <v>447</v>
      </c>
      <c r="F3" s="1" t="s">
        <v>14</v>
      </c>
      <c r="H3" s="24" t="s">
        <v>116</v>
      </c>
      <c r="N3" s="24"/>
      <c r="O3" s="72"/>
      <c r="P3" s="1"/>
      <c r="Q3" t="s">
        <v>189</v>
      </c>
      <c r="AB3" s="54"/>
      <c r="AC3" s="54"/>
      <c r="AD3" s="54"/>
      <c r="AE3" s="54"/>
      <c r="AF3" s="54" t="s">
        <v>190</v>
      </c>
      <c r="AG3" s="54"/>
      <c r="AH3" s="54"/>
      <c r="AI3" s="54"/>
      <c r="AJ3" s="54"/>
      <c r="AK3" s="54"/>
      <c r="AL3" s="54"/>
      <c r="AM3" s="54"/>
      <c r="AN3" s="54"/>
    </row>
    <row r="4" spans="2:174">
      <c r="F4" s="34"/>
      <c r="H4" s="24" t="s">
        <v>117</v>
      </c>
      <c r="L4" s="24"/>
      <c r="N4" s="24"/>
      <c r="O4" s="72"/>
      <c r="P4" s="1"/>
      <c r="Q4" t="s">
        <v>191</v>
      </c>
      <c r="AF4" t="s">
        <v>192</v>
      </c>
    </row>
    <row r="5" spans="2:174">
      <c r="F5" s="34" t="s">
        <v>15</v>
      </c>
      <c r="H5" s="24" t="s">
        <v>118</v>
      </c>
      <c r="L5" s="24"/>
      <c r="N5" s="24"/>
      <c r="O5" s="72"/>
      <c r="P5" s="1"/>
      <c r="Q5" t="s">
        <v>193</v>
      </c>
      <c r="AF5" t="s">
        <v>194</v>
      </c>
    </row>
    <row r="6" spans="2:174" ht="12.6">
      <c r="B6" s="79" t="s">
        <v>448</v>
      </c>
      <c r="F6" s="2"/>
      <c r="G6" s="22"/>
      <c r="H6" s="22" t="s">
        <v>119</v>
      </c>
      <c r="I6" s="17"/>
      <c r="J6" s="17"/>
      <c r="K6" s="17"/>
      <c r="L6" s="17"/>
      <c r="M6" s="22"/>
      <c r="N6" s="22"/>
      <c r="O6" s="73"/>
      <c r="P6" s="1"/>
      <c r="AF6" t="s">
        <v>196</v>
      </c>
      <c r="AU6" s="10" t="s">
        <v>120</v>
      </c>
      <c r="AV6" s="51"/>
      <c r="AW6" s="11"/>
      <c r="AX6" s="11"/>
      <c r="AY6" s="11"/>
      <c r="AZ6" s="11"/>
      <c r="BA6" s="11"/>
      <c r="BB6" s="11"/>
      <c r="BC6" s="11"/>
      <c r="BD6" s="12"/>
      <c r="BE6" s="43" t="s">
        <v>121</v>
      </c>
      <c r="BF6" s="51"/>
      <c r="BG6" s="11"/>
      <c r="BH6" s="11"/>
      <c r="BI6" s="11"/>
      <c r="BJ6" s="11"/>
      <c r="BK6" s="11"/>
      <c r="BL6" s="11"/>
      <c r="BM6" s="11"/>
      <c r="BN6" s="12"/>
      <c r="BO6" s="43" t="s">
        <v>122</v>
      </c>
      <c r="BP6" s="51"/>
      <c r="BQ6" s="11"/>
      <c r="BR6" s="11"/>
      <c r="BS6" s="11"/>
      <c r="BT6" s="11"/>
      <c r="BU6" s="11"/>
      <c r="BV6" s="11"/>
      <c r="BW6" s="11"/>
      <c r="BX6" s="12"/>
      <c r="BY6" s="43" t="s">
        <v>123</v>
      </c>
      <c r="BZ6" s="51"/>
      <c r="CA6" s="11"/>
      <c r="CB6" s="11"/>
      <c r="CC6" s="11"/>
      <c r="CD6" s="11"/>
      <c r="CE6" s="11"/>
      <c r="CF6" s="11"/>
      <c r="CG6" s="11"/>
      <c r="CH6" s="12"/>
      <c r="CI6" s="43" t="s">
        <v>124</v>
      </c>
      <c r="CJ6" s="51"/>
      <c r="CK6" s="11"/>
      <c r="CL6" s="11"/>
      <c r="CM6" s="11"/>
      <c r="CN6" s="11"/>
      <c r="CO6" s="11"/>
      <c r="CP6" s="11"/>
      <c r="CQ6" s="11"/>
      <c r="CR6" s="12"/>
      <c r="CS6" s="43" t="s">
        <v>125</v>
      </c>
      <c r="CT6" s="51"/>
      <c r="CU6" s="11"/>
      <c r="CV6" s="11"/>
      <c r="CW6" s="11"/>
      <c r="CX6" s="11"/>
      <c r="CY6" s="11"/>
      <c r="CZ6" s="11"/>
      <c r="DA6" s="11"/>
      <c r="DB6" s="12"/>
      <c r="DC6" s="43" t="s">
        <v>126</v>
      </c>
      <c r="DD6" s="51"/>
      <c r="DE6" s="11"/>
      <c r="DF6" s="11"/>
      <c r="DG6" s="11"/>
      <c r="DH6" s="11"/>
      <c r="DI6" s="11"/>
      <c r="DJ6" s="11"/>
      <c r="DK6" s="11"/>
      <c r="DL6" s="12"/>
      <c r="DM6" s="43" t="s">
        <v>127</v>
      </c>
      <c r="DN6" s="51"/>
      <c r="DO6" s="11"/>
      <c r="DP6" s="11"/>
      <c r="DQ6" s="11"/>
      <c r="DR6" s="11"/>
      <c r="DS6" s="11"/>
      <c r="DT6" s="11"/>
      <c r="DU6" s="11"/>
      <c r="DV6" s="12"/>
      <c r="DW6" s="43" t="s">
        <v>128</v>
      </c>
      <c r="DX6" s="51"/>
      <c r="DY6" s="11"/>
      <c r="DZ6" s="11"/>
      <c r="EA6" s="11"/>
      <c r="EB6" s="11"/>
      <c r="EC6" s="11"/>
      <c r="ED6" s="11"/>
      <c r="EE6" s="11"/>
      <c r="EF6" s="12"/>
      <c r="EG6" s="43" t="s">
        <v>129</v>
      </c>
      <c r="EH6" s="51"/>
      <c r="EI6" s="11"/>
      <c r="EJ6" s="11"/>
      <c r="EK6" s="11"/>
      <c r="EL6" s="11"/>
      <c r="EM6" s="11"/>
      <c r="EN6" s="11"/>
      <c r="EO6" s="11"/>
      <c r="EP6" s="12"/>
      <c r="EQ6" s="43" t="s">
        <v>130</v>
      </c>
      <c r="ER6" s="51"/>
      <c r="ES6" s="11"/>
      <c r="ET6" s="11"/>
      <c r="EU6" s="11"/>
      <c r="EV6" s="11"/>
      <c r="EW6" s="11"/>
      <c r="EX6" s="11"/>
      <c r="EY6" s="11"/>
      <c r="EZ6" s="12"/>
      <c r="FA6" s="43" t="s">
        <v>131</v>
      </c>
      <c r="FB6" s="51"/>
      <c r="FC6" s="11"/>
      <c r="FD6" s="11"/>
      <c r="FE6" s="11"/>
      <c r="FF6" s="11"/>
      <c r="FG6" s="11"/>
      <c r="FH6" s="11"/>
      <c r="FI6" s="11"/>
      <c r="FJ6" s="12"/>
    </row>
    <row r="7" spans="2:174">
      <c r="AH7" s="296" cm="1">
        <f t="array" ref="AH7">AVERAGE(IF(AH10:AH28&lt;&gt;AH26,AH10:AH28))</f>
        <v>0.78259929454759058</v>
      </c>
      <c r="AI7" s="297" cm="1">
        <f t="array" ref="AI7">AVERAGE(IF(AI10:AI28&lt;&gt;AI26,AI10:AI28))</f>
        <v>7.7805836755772537</v>
      </c>
      <c r="AP7">
        <f>COUNTIF(AP10:AP50,"○")</f>
        <v>1</v>
      </c>
      <c r="AQ7">
        <f>COUNTIF(AQ10:AQ50,"○")</f>
        <v>8</v>
      </c>
      <c r="AR7">
        <f>COUNTIF(AR10:AR50,"○")</f>
        <v>4</v>
      </c>
      <c r="AS7">
        <f>COUNTIF(AS10:AS50,"○")</f>
        <v>6</v>
      </c>
      <c r="AU7" s="18" t="s">
        <v>132</v>
      </c>
      <c r="AV7" s="12"/>
      <c r="AW7" s="18" t="s">
        <v>14</v>
      </c>
      <c r="AX7" s="11"/>
      <c r="AY7" s="12"/>
      <c r="AZ7" s="18" t="s">
        <v>15</v>
      </c>
      <c r="BA7" s="11"/>
      <c r="BB7" s="11"/>
      <c r="BC7" s="11"/>
      <c r="BD7" s="12"/>
      <c r="BE7" s="18" t="s">
        <v>132</v>
      </c>
      <c r="BF7" s="12"/>
      <c r="BG7" s="18" t="s">
        <v>14</v>
      </c>
      <c r="BH7" s="11"/>
      <c r="BI7" s="12"/>
      <c r="BJ7" s="18" t="s">
        <v>15</v>
      </c>
      <c r="BK7" s="11"/>
      <c r="BL7" s="11"/>
      <c r="BM7" s="11"/>
      <c r="BN7" s="12"/>
      <c r="BO7" s="18" t="s">
        <v>132</v>
      </c>
      <c r="BP7" s="12"/>
      <c r="BQ7" s="18" t="s">
        <v>14</v>
      </c>
      <c r="BR7" s="11"/>
      <c r="BS7" s="12"/>
      <c r="BT7" s="18" t="s">
        <v>15</v>
      </c>
      <c r="BU7" s="11"/>
      <c r="BV7" s="11"/>
      <c r="BW7" s="11"/>
      <c r="BX7" s="12"/>
      <c r="BY7" s="18" t="s">
        <v>132</v>
      </c>
      <c r="BZ7" s="12"/>
      <c r="CA7" s="18" t="s">
        <v>14</v>
      </c>
      <c r="CB7" s="11"/>
      <c r="CC7" s="12"/>
      <c r="CD7" s="18" t="s">
        <v>15</v>
      </c>
      <c r="CE7" s="11"/>
      <c r="CF7" s="11"/>
      <c r="CG7" s="11"/>
      <c r="CH7" s="12"/>
      <c r="CI7" s="18" t="s">
        <v>132</v>
      </c>
      <c r="CJ7" s="12"/>
      <c r="CK7" s="18" t="s">
        <v>14</v>
      </c>
      <c r="CL7" s="11"/>
      <c r="CM7" s="12"/>
      <c r="CN7" s="18" t="s">
        <v>15</v>
      </c>
      <c r="CO7" s="11"/>
      <c r="CP7" s="11"/>
      <c r="CQ7" s="11"/>
      <c r="CR7" s="12"/>
      <c r="CS7" s="18" t="s">
        <v>132</v>
      </c>
      <c r="CT7" s="12"/>
      <c r="CU7" s="18" t="s">
        <v>14</v>
      </c>
      <c r="CV7" s="11"/>
      <c r="CW7" s="12"/>
      <c r="CX7" s="18" t="s">
        <v>15</v>
      </c>
      <c r="CY7" s="11"/>
      <c r="CZ7" s="11"/>
      <c r="DA7" s="11"/>
      <c r="DB7" s="12"/>
      <c r="DC7" s="18" t="s">
        <v>132</v>
      </c>
      <c r="DD7" s="12"/>
      <c r="DE7" s="18" t="s">
        <v>14</v>
      </c>
      <c r="DF7" s="11"/>
      <c r="DG7" s="12"/>
      <c r="DH7" s="18" t="s">
        <v>15</v>
      </c>
      <c r="DI7" s="11"/>
      <c r="DJ7" s="11"/>
      <c r="DK7" s="11"/>
      <c r="DL7" s="12"/>
      <c r="DM7" s="18" t="s">
        <v>132</v>
      </c>
      <c r="DN7" s="12"/>
      <c r="DO7" s="18" t="s">
        <v>14</v>
      </c>
      <c r="DP7" s="11"/>
      <c r="DQ7" s="12"/>
      <c r="DR7" s="18" t="s">
        <v>15</v>
      </c>
      <c r="DS7" s="11"/>
      <c r="DT7" s="11"/>
      <c r="DU7" s="11"/>
      <c r="DV7" s="12"/>
      <c r="DW7" s="18" t="s">
        <v>132</v>
      </c>
      <c r="DX7" s="12"/>
      <c r="DY7" s="18" t="s">
        <v>14</v>
      </c>
      <c r="DZ7" s="11"/>
      <c r="EA7" s="12"/>
      <c r="EB7" s="18" t="s">
        <v>15</v>
      </c>
      <c r="EC7" s="11"/>
      <c r="ED7" s="11"/>
      <c r="EE7" s="11"/>
      <c r="EF7" s="12"/>
      <c r="EG7" s="18" t="s">
        <v>132</v>
      </c>
      <c r="EH7" s="12"/>
      <c r="EI7" s="18" t="s">
        <v>14</v>
      </c>
      <c r="EJ7" s="11"/>
      <c r="EK7" s="12"/>
      <c r="EL7" s="18" t="s">
        <v>15</v>
      </c>
      <c r="EM7" s="11"/>
      <c r="EN7" s="11"/>
      <c r="EO7" s="11"/>
      <c r="EP7" s="12"/>
      <c r="EQ7" s="18" t="s">
        <v>132</v>
      </c>
      <c r="ER7" s="12"/>
      <c r="ES7" s="18" t="s">
        <v>14</v>
      </c>
      <c r="ET7" s="11"/>
      <c r="EU7" s="12"/>
      <c r="EV7" s="18" t="s">
        <v>15</v>
      </c>
      <c r="EW7" s="11"/>
      <c r="EX7" s="11"/>
      <c r="EY7" s="11"/>
      <c r="EZ7" s="12"/>
      <c r="FA7" s="18" t="s">
        <v>132</v>
      </c>
      <c r="FB7" s="12"/>
      <c r="FC7" s="18" t="s">
        <v>14</v>
      </c>
      <c r="FD7" s="11"/>
      <c r="FE7" s="12"/>
      <c r="FF7" s="18" t="s">
        <v>15</v>
      </c>
      <c r="FG7" s="11"/>
      <c r="FH7" s="11"/>
      <c r="FI7" s="11"/>
      <c r="FJ7" s="12"/>
    </row>
    <row r="8" spans="2:174">
      <c r="B8" s="7"/>
      <c r="C8" s="10"/>
      <c r="D8" s="10"/>
      <c r="E8" s="10"/>
      <c r="F8" s="59" t="s">
        <v>133</v>
      </c>
      <c r="G8" s="11"/>
      <c r="H8" s="11"/>
      <c r="I8" s="11"/>
      <c r="J8" s="11"/>
      <c r="K8" s="11"/>
      <c r="L8" s="74"/>
      <c r="M8" s="11"/>
      <c r="N8" s="11"/>
      <c r="O8" s="11"/>
      <c r="P8" s="11"/>
      <c r="Q8" s="11"/>
      <c r="R8" s="11"/>
      <c r="S8" s="11"/>
      <c r="T8" s="11"/>
      <c r="U8" s="11"/>
      <c r="V8" s="12"/>
      <c r="W8" s="57"/>
      <c r="X8" s="58"/>
      <c r="Y8" s="58"/>
      <c r="Z8" s="56"/>
      <c r="AA8" s="31" t="s">
        <v>134</v>
      </c>
      <c r="AB8" s="31" t="s">
        <v>135</v>
      </c>
      <c r="AC8" s="531" t="s">
        <v>197</v>
      </c>
      <c r="AD8" s="531"/>
      <c r="AE8" s="531" t="s">
        <v>198</v>
      </c>
      <c r="AF8" s="531"/>
      <c r="AG8" s="46"/>
      <c r="AH8" s="46"/>
      <c r="AI8" s="46"/>
      <c r="AJ8" s="46"/>
      <c r="AK8" s="46"/>
      <c r="AL8" s="46"/>
      <c r="AM8" s="46"/>
      <c r="AN8" s="46"/>
      <c r="AO8" s="45"/>
      <c r="AP8" s="45"/>
      <c r="AQ8" s="45"/>
      <c r="AR8" s="45"/>
      <c r="AS8" s="45"/>
      <c r="AT8" s="46"/>
      <c r="AU8" s="13"/>
      <c r="AV8" s="7"/>
      <c r="AW8" s="19" t="s">
        <v>116</v>
      </c>
      <c r="AX8" s="41"/>
      <c r="AY8" s="39"/>
      <c r="AZ8" s="40" t="s">
        <v>136</v>
      </c>
      <c r="BA8" s="38"/>
      <c r="BB8" s="39"/>
      <c r="BC8" s="19" t="s">
        <v>137</v>
      </c>
      <c r="BD8" s="15"/>
      <c r="BE8" s="13"/>
      <c r="BF8" s="7"/>
      <c r="BG8" s="19" t="s">
        <v>116</v>
      </c>
      <c r="BH8" s="41"/>
      <c r="BI8" s="39"/>
      <c r="BJ8" s="40" t="s">
        <v>136</v>
      </c>
      <c r="BK8" s="38"/>
      <c r="BL8" s="39"/>
      <c r="BM8" s="19" t="s">
        <v>137</v>
      </c>
      <c r="BN8" s="15"/>
      <c r="BO8" s="13"/>
      <c r="BP8" s="7"/>
      <c r="BQ8" s="19" t="s">
        <v>116</v>
      </c>
      <c r="BR8" s="41"/>
      <c r="BS8" s="39"/>
      <c r="BT8" s="40" t="s">
        <v>136</v>
      </c>
      <c r="BU8" s="38"/>
      <c r="BV8" s="39"/>
      <c r="BW8" s="19" t="s">
        <v>137</v>
      </c>
      <c r="BX8" s="15"/>
      <c r="BY8" s="13"/>
      <c r="BZ8" s="7"/>
      <c r="CA8" s="19" t="s">
        <v>116</v>
      </c>
      <c r="CB8" s="41"/>
      <c r="CC8" s="39"/>
      <c r="CD8" s="40" t="s">
        <v>136</v>
      </c>
      <c r="CE8" s="38"/>
      <c r="CF8" s="39"/>
      <c r="CG8" s="19" t="s">
        <v>137</v>
      </c>
      <c r="CH8" s="15"/>
      <c r="CI8" s="13"/>
      <c r="CJ8" s="7"/>
      <c r="CK8" s="19" t="s">
        <v>116</v>
      </c>
      <c r="CL8" s="41"/>
      <c r="CM8" s="39"/>
      <c r="CN8" s="40" t="s">
        <v>136</v>
      </c>
      <c r="CO8" s="38"/>
      <c r="CP8" s="39"/>
      <c r="CQ8" s="19" t="s">
        <v>137</v>
      </c>
      <c r="CR8" s="15"/>
      <c r="CS8" s="13"/>
      <c r="CT8" s="7"/>
      <c r="CU8" s="19" t="s">
        <v>116</v>
      </c>
      <c r="CV8" s="41"/>
      <c r="CW8" s="39"/>
      <c r="CX8" s="40" t="s">
        <v>136</v>
      </c>
      <c r="CY8" s="38"/>
      <c r="CZ8" s="39"/>
      <c r="DA8" s="19" t="s">
        <v>137</v>
      </c>
      <c r="DB8" s="15"/>
      <c r="DC8" s="13"/>
      <c r="DD8" s="7"/>
      <c r="DE8" s="19" t="s">
        <v>116</v>
      </c>
      <c r="DF8" s="41"/>
      <c r="DG8" s="39"/>
      <c r="DH8" s="40" t="s">
        <v>136</v>
      </c>
      <c r="DI8" s="38"/>
      <c r="DJ8" s="39"/>
      <c r="DK8" s="19" t="s">
        <v>137</v>
      </c>
      <c r="DL8" s="15"/>
      <c r="DM8" s="13"/>
      <c r="DN8" s="7"/>
      <c r="DO8" s="19" t="s">
        <v>116</v>
      </c>
      <c r="DP8" s="41"/>
      <c r="DQ8" s="39"/>
      <c r="DR8" s="40" t="s">
        <v>136</v>
      </c>
      <c r="DS8" s="38"/>
      <c r="DT8" s="39"/>
      <c r="DU8" s="19" t="s">
        <v>137</v>
      </c>
      <c r="DV8" s="15"/>
      <c r="DW8" s="13"/>
      <c r="DX8" s="7"/>
      <c r="DY8" s="19" t="s">
        <v>116</v>
      </c>
      <c r="DZ8" s="41"/>
      <c r="EA8" s="39"/>
      <c r="EB8" s="40" t="s">
        <v>136</v>
      </c>
      <c r="EC8" s="38"/>
      <c r="ED8" s="39"/>
      <c r="EE8" s="19" t="s">
        <v>137</v>
      </c>
      <c r="EF8" s="15"/>
      <c r="EG8" s="13"/>
      <c r="EH8" s="7"/>
      <c r="EI8" s="19" t="s">
        <v>116</v>
      </c>
      <c r="EJ8" s="41"/>
      <c r="EK8" s="39"/>
      <c r="EL8" s="40" t="s">
        <v>136</v>
      </c>
      <c r="EM8" s="38"/>
      <c r="EN8" s="39"/>
      <c r="EO8" s="19" t="s">
        <v>137</v>
      </c>
      <c r="EP8" s="15"/>
      <c r="EQ8" s="13"/>
      <c r="ER8" s="7"/>
      <c r="ES8" s="19" t="s">
        <v>116</v>
      </c>
      <c r="ET8" s="41"/>
      <c r="EU8" s="39"/>
      <c r="EV8" s="40" t="s">
        <v>136</v>
      </c>
      <c r="EW8" s="38"/>
      <c r="EX8" s="39"/>
      <c r="EY8" s="19" t="s">
        <v>137</v>
      </c>
      <c r="EZ8" s="15"/>
      <c r="FA8" s="13"/>
      <c r="FB8" s="7"/>
      <c r="FC8" s="19" t="s">
        <v>116</v>
      </c>
      <c r="FD8" s="41"/>
      <c r="FE8" s="39"/>
      <c r="FF8" s="40" t="s">
        <v>136</v>
      </c>
      <c r="FG8" s="38"/>
      <c r="FH8" s="39"/>
      <c r="FI8" s="19" t="s">
        <v>137</v>
      </c>
      <c r="FJ8" s="15"/>
      <c r="FM8" s="54">
        <f>SUMIF(FM10:FM31,"&lt;&gt;"&amp;FM26)</f>
        <v>102.78600000000003</v>
      </c>
      <c r="FN8" s="54">
        <f>SUMIF(FN10:FN31,"&lt;&gt;"&amp;FN26)</f>
        <v>239</v>
      </c>
      <c r="FO8" s="54">
        <f t="shared" ref="FO8:FP8" si="0">SUM(FO10:FO31)</f>
        <v>1929.0999999999997</v>
      </c>
      <c r="FP8" s="54">
        <f t="shared" si="0"/>
        <v>2749</v>
      </c>
    </row>
    <row r="9" spans="2:174" ht="33">
      <c r="B9" s="8" t="s">
        <v>449</v>
      </c>
      <c r="C9" s="26" t="s">
        <v>139</v>
      </c>
      <c r="D9" s="26" t="s">
        <v>199</v>
      </c>
      <c r="E9" s="30" t="s">
        <v>140</v>
      </c>
      <c r="F9" s="122">
        <v>1</v>
      </c>
      <c r="G9" s="122">
        <v>2</v>
      </c>
      <c r="H9" s="122">
        <v>3</v>
      </c>
      <c r="I9" s="122">
        <v>4</v>
      </c>
      <c r="J9" s="122">
        <v>5</v>
      </c>
      <c r="K9" s="122">
        <v>6</v>
      </c>
      <c r="L9" s="122">
        <v>7</v>
      </c>
      <c r="M9" s="122">
        <v>8</v>
      </c>
      <c r="N9" s="122">
        <v>9</v>
      </c>
      <c r="O9" s="122">
        <v>10</v>
      </c>
      <c r="P9" s="122">
        <v>11</v>
      </c>
      <c r="Q9" s="122">
        <v>12</v>
      </c>
      <c r="R9" s="50" t="s">
        <v>145</v>
      </c>
      <c r="S9" s="30" t="s">
        <v>200</v>
      </c>
      <c r="T9" s="30" t="s">
        <v>201</v>
      </c>
      <c r="U9" s="30" t="s">
        <v>202</v>
      </c>
      <c r="V9" s="30" t="s">
        <v>13</v>
      </c>
      <c r="W9" s="53" t="s">
        <v>148</v>
      </c>
      <c r="X9" s="53" t="s">
        <v>149</v>
      </c>
      <c r="Y9" s="53" t="s">
        <v>150</v>
      </c>
      <c r="Z9" s="53" t="s">
        <v>151</v>
      </c>
      <c r="AA9" s="143" t="s">
        <v>152</v>
      </c>
      <c r="AB9" s="30"/>
      <c r="AC9" s="183" t="s">
        <v>203</v>
      </c>
      <c r="AD9" s="183" t="s">
        <v>204</v>
      </c>
      <c r="AE9" s="183" t="s">
        <v>203</v>
      </c>
      <c r="AF9" s="204" t="s">
        <v>204</v>
      </c>
      <c r="AG9" s="125" t="s">
        <v>205</v>
      </c>
      <c r="AH9" s="125" t="s">
        <v>206</v>
      </c>
      <c r="AI9" s="125" t="s">
        <v>207</v>
      </c>
      <c r="AJ9" s="125" t="s">
        <v>208</v>
      </c>
      <c r="AK9" s="125" t="s">
        <v>209</v>
      </c>
      <c r="AL9" s="125" t="s">
        <v>210</v>
      </c>
      <c r="AM9" s="125" t="s">
        <v>211</v>
      </c>
      <c r="AN9" s="125" t="s">
        <v>212</v>
      </c>
      <c r="AO9" s="47" t="s">
        <v>153</v>
      </c>
      <c r="AP9" s="125" t="s">
        <v>214</v>
      </c>
      <c r="AQ9" s="125" t="s">
        <v>215</v>
      </c>
      <c r="AR9" s="125" t="s">
        <v>216</v>
      </c>
      <c r="AS9" s="47" t="s">
        <v>450</v>
      </c>
      <c r="AT9" s="48" t="s">
        <v>154</v>
      </c>
      <c r="AU9" s="35" t="s">
        <v>155</v>
      </c>
      <c r="AV9" s="26" t="s">
        <v>156</v>
      </c>
      <c r="AW9" s="20" t="s">
        <v>157</v>
      </c>
      <c r="AX9" s="21" t="s">
        <v>165</v>
      </c>
      <c r="AY9" s="23" t="s">
        <v>159</v>
      </c>
      <c r="AZ9" s="21" t="s">
        <v>160</v>
      </c>
      <c r="BA9" s="21" t="s">
        <v>161</v>
      </c>
      <c r="BB9" s="21" t="s">
        <v>162</v>
      </c>
      <c r="BC9" s="21" t="s">
        <v>163</v>
      </c>
      <c r="BD9" s="23" t="s">
        <v>164</v>
      </c>
      <c r="BE9" s="35" t="s">
        <v>155</v>
      </c>
      <c r="BF9" s="26" t="s">
        <v>156</v>
      </c>
      <c r="BG9" s="20" t="s">
        <v>157</v>
      </c>
      <c r="BH9" s="21" t="s">
        <v>165</v>
      </c>
      <c r="BI9" s="23" t="s">
        <v>159</v>
      </c>
      <c r="BJ9" s="21" t="s">
        <v>160</v>
      </c>
      <c r="BK9" s="21" t="s">
        <v>161</v>
      </c>
      <c r="BL9" s="21" t="s">
        <v>162</v>
      </c>
      <c r="BM9" s="21" t="s">
        <v>163</v>
      </c>
      <c r="BN9" s="23" t="s">
        <v>164</v>
      </c>
      <c r="BO9" s="35" t="s">
        <v>155</v>
      </c>
      <c r="BP9" s="26" t="s">
        <v>156</v>
      </c>
      <c r="BQ9" s="20" t="s">
        <v>157</v>
      </c>
      <c r="BR9" s="21" t="s">
        <v>165</v>
      </c>
      <c r="BS9" s="23" t="s">
        <v>159</v>
      </c>
      <c r="BT9" s="21" t="s">
        <v>160</v>
      </c>
      <c r="BU9" s="21" t="s">
        <v>161</v>
      </c>
      <c r="BV9" s="21" t="s">
        <v>162</v>
      </c>
      <c r="BW9" s="21" t="s">
        <v>163</v>
      </c>
      <c r="BX9" s="23" t="s">
        <v>164</v>
      </c>
      <c r="BY9" s="35" t="s">
        <v>155</v>
      </c>
      <c r="BZ9" s="26" t="s">
        <v>156</v>
      </c>
      <c r="CA9" s="20" t="s">
        <v>157</v>
      </c>
      <c r="CB9" s="21" t="s">
        <v>165</v>
      </c>
      <c r="CC9" s="23" t="s">
        <v>159</v>
      </c>
      <c r="CD9" s="21" t="s">
        <v>160</v>
      </c>
      <c r="CE9" s="21" t="s">
        <v>161</v>
      </c>
      <c r="CF9" s="21" t="s">
        <v>162</v>
      </c>
      <c r="CG9" s="21" t="s">
        <v>163</v>
      </c>
      <c r="CH9" s="23" t="s">
        <v>164</v>
      </c>
      <c r="CI9" s="35" t="s">
        <v>155</v>
      </c>
      <c r="CJ9" s="26" t="s">
        <v>156</v>
      </c>
      <c r="CK9" s="20" t="s">
        <v>157</v>
      </c>
      <c r="CL9" s="21" t="s">
        <v>165</v>
      </c>
      <c r="CM9" s="23" t="s">
        <v>159</v>
      </c>
      <c r="CN9" s="21" t="s">
        <v>160</v>
      </c>
      <c r="CO9" s="21" t="s">
        <v>161</v>
      </c>
      <c r="CP9" s="21" t="s">
        <v>162</v>
      </c>
      <c r="CQ9" s="21" t="s">
        <v>163</v>
      </c>
      <c r="CR9" s="23" t="s">
        <v>164</v>
      </c>
      <c r="CS9" s="35" t="s">
        <v>155</v>
      </c>
      <c r="CT9" s="26" t="s">
        <v>156</v>
      </c>
      <c r="CU9" s="20" t="s">
        <v>157</v>
      </c>
      <c r="CV9" s="21" t="s">
        <v>165</v>
      </c>
      <c r="CW9" s="23" t="s">
        <v>159</v>
      </c>
      <c r="CX9" s="21" t="s">
        <v>160</v>
      </c>
      <c r="CY9" s="21" t="s">
        <v>161</v>
      </c>
      <c r="CZ9" s="21" t="s">
        <v>162</v>
      </c>
      <c r="DA9" s="21" t="s">
        <v>163</v>
      </c>
      <c r="DB9" s="23" t="s">
        <v>164</v>
      </c>
      <c r="DC9" s="35" t="s">
        <v>155</v>
      </c>
      <c r="DD9" s="26" t="s">
        <v>156</v>
      </c>
      <c r="DE9" s="20" t="s">
        <v>157</v>
      </c>
      <c r="DF9" s="21" t="s">
        <v>165</v>
      </c>
      <c r="DG9" s="23" t="s">
        <v>159</v>
      </c>
      <c r="DH9" s="21" t="s">
        <v>160</v>
      </c>
      <c r="DI9" s="21" t="s">
        <v>161</v>
      </c>
      <c r="DJ9" s="21" t="s">
        <v>162</v>
      </c>
      <c r="DK9" s="21" t="s">
        <v>163</v>
      </c>
      <c r="DL9" s="23" t="s">
        <v>164</v>
      </c>
      <c r="DM9" s="35" t="s">
        <v>155</v>
      </c>
      <c r="DN9" s="26" t="s">
        <v>156</v>
      </c>
      <c r="DO9" s="20" t="s">
        <v>157</v>
      </c>
      <c r="DP9" s="21" t="s">
        <v>165</v>
      </c>
      <c r="DQ9" s="23" t="s">
        <v>159</v>
      </c>
      <c r="DR9" s="21" t="s">
        <v>160</v>
      </c>
      <c r="DS9" s="21" t="s">
        <v>161</v>
      </c>
      <c r="DT9" s="21" t="s">
        <v>162</v>
      </c>
      <c r="DU9" s="21" t="s">
        <v>163</v>
      </c>
      <c r="DV9" s="23" t="s">
        <v>164</v>
      </c>
      <c r="DW9" s="35" t="s">
        <v>155</v>
      </c>
      <c r="DX9" s="26" t="s">
        <v>156</v>
      </c>
      <c r="DY9" s="20" t="s">
        <v>157</v>
      </c>
      <c r="DZ9" s="21" t="s">
        <v>165</v>
      </c>
      <c r="EA9" s="23" t="s">
        <v>159</v>
      </c>
      <c r="EB9" s="21" t="s">
        <v>160</v>
      </c>
      <c r="EC9" s="21" t="s">
        <v>161</v>
      </c>
      <c r="ED9" s="21" t="s">
        <v>162</v>
      </c>
      <c r="EE9" s="21" t="s">
        <v>163</v>
      </c>
      <c r="EF9" s="23" t="s">
        <v>164</v>
      </c>
      <c r="EG9" s="35" t="s">
        <v>155</v>
      </c>
      <c r="EH9" s="26" t="s">
        <v>156</v>
      </c>
      <c r="EI9" s="20" t="s">
        <v>157</v>
      </c>
      <c r="EJ9" s="21" t="s">
        <v>165</v>
      </c>
      <c r="EK9" s="23" t="s">
        <v>159</v>
      </c>
      <c r="EL9" s="21" t="s">
        <v>160</v>
      </c>
      <c r="EM9" s="21" t="s">
        <v>161</v>
      </c>
      <c r="EN9" s="21" t="s">
        <v>162</v>
      </c>
      <c r="EO9" s="21" t="s">
        <v>163</v>
      </c>
      <c r="EP9" s="23" t="s">
        <v>164</v>
      </c>
      <c r="EQ9" s="35" t="s">
        <v>155</v>
      </c>
      <c r="ER9" s="26" t="s">
        <v>156</v>
      </c>
      <c r="ES9" s="20" t="s">
        <v>157</v>
      </c>
      <c r="ET9" s="21" t="s">
        <v>165</v>
      </c>
      <c r="EU9" s="23" t="s">
        <v>159</v>
      </c>
      <c r="EV9" s="21" t="s">
        <v>160</v>
      </c>
      <c r="EW9" s="21" t="s">
        <v>161</v>
      </c>
      <c r="EX9" s="21" t="s">
        <v>162</v>
      </c>
      <c r="EY9" s="21" t="s">
        <v>163</v>
      </c>
      <c r="EZ9" s="23" t="s">
        <v>164</v>
      </c>
      <c r="FA9" s="35" t="s">
        <v>155</v>
      </c>
      <c r="FB9" s="26" t="s">
        <v>156</v>
      </c>
      <c r="FC9" s="20" t="s">
        <v>157</v>
      </c>
      <c r="FD9" s="21" t="s">
        <v>165</v>
      </c>
      <c r="FE9" s="23" t="s">
        <v>159</v>
      </c>
      <c r="FF9" s="21" t="s">
        <v>160</v>
      </c>
      <c r="FG9" s="21" t="s">
        <v>161</v>
      </c>
      <c r="FH9" s="21" t="s">
        <v>162</v>
      </c>
      <c r="FI9" s="21" t="s">
        <v>163</v>
      </c>
      <c r="FJ9" s="23" t="s">
        <v>164</v>
      </c>
      <c r="FM9" s="24" t="s">
        <v>218</v>
      </c>
      <c r="FN9" s="24" t="s">
        <v>219</v>
      </c>
      <c r="FO9" s="24" t="s">
        <v>220</v>
      </c>
      <c r="FP9" s="24" t="s">
        <v>221</v>
      </c>
    </row>
    <row r="10" spans="2:174" ht="92.1" customHeight="1">
      <c r="B10" s="132" t="s">
        <v>451</v>
      </c>
      <c r="C10" s="3" t="s">
        <v>223</v>
      </c>
      <c r="D10" s="4" t="s">
        <v>224</v>
      </c>
      <c r="E10" s="28">
        <v>4</v>
      </c>
      <c r="F10" s="123" t="str">
        <f t="shared" ref="F10:F31" si="1">IF($E10&lt;F$9,"",IF(AND(AY10&gt;0.6,BB10&lt;=8,BC10=BD10),"○","×")&amp;CHAR(10)&amp;"[P・Q]"&amp;CHAR(10)&amp;IF(AY10="","--",IF(AY10&gt;0.6,"○","×"))&amp;IF(BB10="","・--",IF(BB10&lt;=8,"・○","・×")))</f>
        <v>○
[P・Q]
○・○</v>
      </c>
      <c r="G10" s="123" t="str">
        <f t="shared" ref="G10:G31" si="2">IF($E10&lt;G$9,"",IF(AND(BI10&gt;0.6,BL10&lt;=8,BM10=BN10),"○","×")&amp;CHAR(10)&amp;"[P・Q]"&amp;CHAR(10)&amp;IF(BI10="","--",IF(BI10&gt;0.6,"○","×"))&amp;IF(BL10="","・--",IF(BL10&lt;=8,"・○","・×")))</f>
        <v>○
[P・Q]
○・○</v>
      </c>
      <c r="H10" s="123" t="str">
        <f>IF($E10&lt;H$9,"",IF(AND(BS10&gt;0.6,BV10&lt;=8,BW10=BX10),"○","×")&amp;CHAR(10)&amp;"[P・Q]"&amp;CHAR(10)&amp;IF(BS10="","--",IF(BS10&gt;0.6,"○","×"))&amp;IF(BV10="","・--",IF(BV10&lt;=8,"・○","・×")))</f>
        <v>×
[P・Q]
○・×</v>
      </c>
      <c r="I10" s="123" t="str">
        <f>IF($E10&lt;I$9,"",IF(AND(CC10&gt;0.6,CF10&lt;=8,CG10=CH10),"○","×")&amp;CHAR(10)&amp;"[P・Q]"&amp;CHAR(10)&amp;IF(CC10="","--",IF(CC10&gt;0.6,"○","×"))&amp;IF(CF10="","・--",IF(CF10&lt;=8,"・○","・×")))</f>
        <v>○
[P・Q]
○・○</v>
      </c>
      <c r="J10" s="123" t="str">
        <f t="shared" ref="J10:J15" si="3">IF($E10&lt;J$9,"",IF(AND(CM10&gt;0.6,CP10&lt;=8,CQ10=CR10),"○","×")&amp;CHAR(10)&amp;"[P・Q]"&amp;CHAR(10)&amp;IF(CM10="","--",IF(CM10&gt;0.6,"○","×"))&amp;IF(CP10="","・--",IF(CP10&lt;=8,"・○","・×")))</f>
        <v/>
      </c>
      <c r="K10" s="123" t="str">
        <f t="shared" ref="K10:K31" si="4">IF($E10&lt;K$9,"",IF(AND(CW10&gt;0.6,CZ10&lt;=8,DA10=DB10),"○","×")&amp;CHAR(10)&amp;"[P・Q]"&amp;CHAR(10)&amp;IF(CW10="","--",IF(CW10&gt;0.6,"○","×"))&amp;IF(DA10="","・--",IF(DA10&lt;=8,"・○","・×")))</f>
        <v/>
      </c>
      <c r="L10" s="123" t="str">
        <f t="shared" ref="L10:L31" si="5">IF($E10&lt;L$9,"",IF(AND(DG10&gt;0.6,DJ10&lt;=8,DK10=DL10),"○","×")&amp;CHAR(10)&amp;"[P・Q]"&amp;CHAR(10)&amp;IF(DG10="","--",IF(DG10&gt;0.6,"○","×"))&amp;IF(DJ10="","・--",IF(DJ10&lt;=8,"・○","・×")))</f>
        <v/>
      </c>
      <c r="M10" s="123" t="str">
        <f t="shared" ref="M10:M31" si="6">IF($E10&lt;M$9,"",IF(AND(DQ10&gt;0.6,DT10&lt;=8,DU10=DV10),"○","×")&amp;CHAR(10)&amp;"[P・Q]"&amp;CHAR(10)&amp;IF(DQ10="","--",IF(DQ10&gt;0.6,"○","×"))&amp;IF(DT10="","・--",IF(DT10&lt;=8,"・○","・×")))</f>
        <v/>
      </c>
      <c r="N10" s="123" t="str">
        <f t="shared" ref="N10:N31" si="7">IF($E10&lt;N$9,"",IF(AND(EA10&gt;0.6,ED10&lt;=8,EE10=EF10),"○","×")&amp;CHAR(10)&amp;"[P・Q]"&amp;CHAR(10)&amp;IF(EA10="","--",IF(EA10&gt;0.6,"○","×"))&amp;IF(ED10="","・--",IF(ED10&lt;=8,"・○","・×")))</f>
        <v/>
      </c>
      <c r="O10" s="123" t="str">
        <f t="shared" ref="O10:O31" si="8">IF($E10&lt;O$9,"",IF(AND(EK10&gt;0.6,EN10&lt;=8,EO10=EP10),"○","×")&amp;CHAR(10)&amp;"[P・Q]"&amp;CHAR(10)&amp;IF(EK10="","--",IF(EK10&gt;0.6,"○","×"))&amp;IF(EN10="","・--",IF(EN10&lt;=8,"・○","・×")))</f>
        <v/>
      </c>
      <c r="P10" s="123" t="str">
        <f t="shared" ref="P10:P31" si="9">IF($E10&lt;P$9,"",IF(AND(EU10&gt;0.6,EX10&lt;=8,EY10=EZ10),"○","×")&amp;CHAR(10)&amp;"[P・Q]"&amp;CHAR(10)&amp;IF(EU10="","--",IF(EU10&gt;0.6,"○","×"))&amp;IF(EX10="","・--",IF(EX10&lt;=8,"・○","・×")))</f>
        <v/>
      </c>
      <c r="Q10" s="123" t="str">
        <f t="shared" ref="Q10:Q31" si="10">IF($E10&lt;Q$9,"",IF(AND(FE10&gt;0.6,FH10&lt;=8,FI10=FJ10),"○","×")&amp;CHAR(10)&amp;"[P・Q]"&amp;CHAR(10)&amp;IF(FE10="","--",IF(FE10&gt;0.6,"○","×"))&amp;IF(FH10="","・--",IF(FH10&lt;=8,"・○","・×")))</f>
        <v/>
      </c>
      <c r="R10" s="76">
        <f t="shared" ref="R10:R31" si="11">COUNTIF(AU10:FJ10,"○")/E10</f>
        <v>1</v>
      </c>
      <c r="S10" s="28">
        <v>5</v>
      </c>
      <c r="T10" s="28">
        <v>5</v>
      </c>
      <c r="U10" s="28">
        <v>5</v>
      </c>
      <c r="V10" s="28">
        <v>5</v>
      </c>
      <c r="W10" s="77">
        <f t="shared" ref="W10:W31" si="12">((COUNTIF(AY10,"&gt;=0.6")+COUNTIF(BI10,"&gt;=0.6")+COUNTIF(BS10,"&gt;=0.6")+COUNTIF(CC10,"&gt;=0.6")+COUNTIF(CM10,"&gt;=0.6")+COUNTIF(CW10,"&gt;=0.6")+COUNTIF(DG10,"&gt;=0.6")+COUNTIF(DQ10,"&gt;=0.6")+COUNTIF(EA10,"&gt;=0.6")+COUNTIF(EK10,"&gt;=0.6")+COUNTIF(EU10,"&gt;=0.6")+COUNTIF(FE10,"&gt;=0.6"))*(75/(E10*2)))</f>
        <v>37.5</v>
      </c>
      <c r="X10" s="77">
        <f t="shared" ref="X10:X31" si="13">((COUNTIF(BB10,"&lt;=8")+COUNTIF(BL10,"&lt;=8")+COUNTIF(BV10,"&lt;=8")+COUNTIF(CF10,"&lt;=8")+COUNTIF(CP10,"&lt;=8")+COUNTIF(CZ10,"&lt;=8")+COUNTIF(DJ10,"&lt;=8")+COUNTIF(DT10,"&lt;=8")+COUNTIF(ED10,"&lt;=8")+COUNTIF(EN10,"&lt;=8")+COUNTIF(EX10,"&lt;=8")+COUNTIF(FH10,"&lt;=8"))*(75/(E10*2)))</f>
        <v>28.125</v>
      </c>
      <c r="Y10" s="77" cm="1">
        <f t="array" ref="Y10">_xlfn.IFS(R10&gt;=0.8,5,R10&gt;=0.6,3,R10&gt;=0.2,1,R10&lt;0.2,0)</f>
        <v>5</v>
      </c>
      <c r="Z10" s="140">
        <f>SUM(S10:Y10)</f>
        <v>90.625</v>
      </c>
      <c r="AA10" s="144" t="s">
        <v>452</v>
      </c>
      <c r="AB10" s="5" t="s">
        <v>453</v>
      </c>
      <c r="AC10" s="80" t="s">
        <v>226</v>
      </c>
      <c r="AD10" s="5" t="s">
        <v>454</v>
      </c>
      <c r="AE10" s="194" t="s">
        <v>174</v>
      </c>
      <c r="AF10" s="5" t="s">
        <v>455</v>
      </c>
      <c r="AG10" s="187"/>
      <c r="AH10" s="207">
        <f t="shared" ref="AH10:AH25" si="14">IFERROR(AVERAGE(AY10,BI10,BS10,CC10,CM10,CW10,DG10,DQ10,EA10,EK10)," ")</f>
        <v>1.0211769161710245</v>
      </c>
      <c r="AI10" s="42">
        <f t="shared" ref="AI10:AI28" si="15">IFERROR(AVERAGE(BB10,BL10,BV10,CF10,CP10,CZ10,DJ10,DT10,ED10,EN10)," ")</f>
        <v>6.389554180355173</v>
      </c>
      <c r="AJ10" s="80" t="str">
        <f t="shared" ref="AJ10:AJ28" si="16">IFERROR(IF(AH10&gt;=0.6,"HIGH","LOW"),"")</f>
        <v>HIGH</v>
      </c>
      <c r="AK10" s="80" t="str">
        <f t="shared" ref="AK10:AK28" si="17">IFERROR(IF(AI10&lt;=8,"HIGH","LOW"),"")</f>
        <v>HIGH</v>
      </c>
      <c r="AL10" s="3"/>
      <c r="AM10" s="3"/>
      <c r="AN10" s="126" t="str">
        <f>IF(AND(Z10&gt;Summary!$C$5, Z10&lt;=Summary!$D$5),Summary!$B$5,IF(AND(Z10&gt;Summary!$C$6, Z10&lt;=Summary!$D$6),Summary!$B$6,IF(AND(Z10&gt;Summary!$C$7, Z10&lt;=Summary!$D$7),Summary!$B$7,Summary!$B$8)))</f>
        <v>◎</v>
      </c>
      <c r="AO10" s="14" t="s">
        <v>168</v>
      </c>
      <c r="AP10" s="14"/>
      <c r="AQ10" s="14" t="s">
        <v>168</v>
      </c>
      <c r="AR10" s="14"/>
      <c r="AS10" s="14"/>
      <c r="AT10" s="29" t="s">
        <v>456</v>
      </c>
      <c r="AU10" s="36" t="s">
        <v>457</v>
      </c>
      <c r="AV10" s="4" t="s">
        <v>168</v>
      </c>
      <c r="AW10" s="6">
        <v>29.9</v>
      </c>
      <c r="AX10" s="6">
        <v>30</v>
      </c>
      <c r="AY10" s="33">
        <f>IF(AX10="","",AW10/AX10)</f>
        <v>0.99666666666666659</v>
      </c>
      <c r="AZ10" s="42">
        <v>1.4039999999999999</v>
      </c>
      <c r="BA10" s="3">
        <v>5</v>
      </c>
      <c r="BB10" s="37">
        <f>IF(BA10="","",BA10/AZ10)</f>
        <v>3.5612535612535616</v>
      </c>
      <c r="BC10" s="3">
        <v>5</v>
      </c>
      <c r="BD10" s="3">
        <v>5</v>
      </c>
      <c r="BE10" s="80" t="s">
        <v>458</v>
      </c>
      <c r="BF10" s="4" t="s">
        <v>168</v>
      </c>
      <c r="BG10" s="6">
        <v>34.299999999999997</v>
      </c>
      <c r="BH10" s="6">
        <v>33.5</v>
      </c>
      <c r="BI10" s="33">
        <f>IF(BH10="","",BG10/BH10)</f>
        <v>1.0238805970149254</v>
      </c>
      <c r="BJ10" s="42">
        <v>1.274</v>
      </c>
      <c r="BK10" s="3">
        <v>8</v>
      </c>
      <c r="BL10" s="37">
        <f>IF(BK10="","",BK10/BJ10)</f>
        <v>6.2794348508634226</v>
      </c>
      <c r="BM10" s="3">
        <v>8</v>
      </c>
      <c r="BN10" s="3">
        <v>8</v>
      </c>
      <c r="BO10" s="80" t="s">
        <v>459</v>
      </c>
      <c r="BP10" s="4" t="s">
        <v>168</v>
      </c>
      <c r="BQ10" s="6">
        <v>22.9</v>
      </c>
      <c r="BR10" s="6">
        <v>21</v>
      </c>
      <c r="BS10" s="33">
        <f>IF(BR10="","",BQ10/BR10)</f>
        <v>1.0904761904761904</v>
      </c>
      <c r="BT10" s="42">
        <v>0.58199999999999996</v>
      </c>
      <c r="BU10" s="3">
        <v>7</v>
      </c>
      <c r="BV10" s="37">
        <f>IF(BU10="","",BU10/BT10)</f>
        <v>12.027491408934708</v>
      </c>
      <c r="BW10" s="3">
        <v>7</v>
      </c>
      <c r="BX10" s="3">
        <v>7</v>
      </c>
      <c r="BY10" s="80" t="s">
        <v>460</v>
      </c>
      <c r="BZ10" s="4" t="s">
        <v>168</v>
      </c>
      <c r="CA10" s="6">
        <v>18.5</v>
      </c>
      <c r="CB10" s="6">
        <v>19</v>
      </c>
      <c r="CC10" s="33">
        <f>IF(CB10="","",CA10/CB10)</f>
        <v>0.97368421052631582</v>
      </c>
      <c r="CD10" s="42">
        <v>0.54200000000000004</v>
      </c>
      <c r="CE10" s="3">
        <v>2</v>
      </c>
      <c r="CF10" s="37">
        <f>IF(CE10="","",CE10/CD10)</f>
        <v>3.6900369003690034</v>
      </c>
      <c r="CG10" s="3">
        <v>2</v>
      </c>
      <c r="CH10" s="3">
        <v>2</v>
      </c>
      <c r="CI10" s="4"/>
      <c r="CJ10" s="4"/>
      <c r="CK10" s="6"/>
      <c r="CL10" s="6"/>
      <c r="CM10" s="33" t="str">
        <f>IF(CL10="","",CK10/CL10)</f>
        <v/>
      </c>
      <c r="CN10" s="42"/>
      <c r="CO10" s="3"/>
      <c r="CP10" s="37" t="str">
        <f>IF(CO10="","",CO10/CN10)</f>
        <v/>
      </c>
      <c r="CQ10" s="3"/>
      <c r="CR10" s="3"/>
      <c r="CS10" s="4" t="s">
        <v>461</v>
      </c>
      <c r="CT10" s="4"/>
      <c r="CU10" s="6"/>
      <c r="CV10" s="6"/>
      <c r="CW10" s="33" t="str">
        <f>IF(CV10="","",CU10/CV10)</f>
        <v/>
      </c>
      <c r="CX10" s="42"/>
      <c r="CY10" s="3"/>
      <c r="CZ10" s="37" t="str">
        <f>IF(CY10="","",CY10/CX10)</f>
        <v/>
      </c>
      <c r="DA10" s="3"/>
      <c r="DB10" s="3"/>
      <c r="DC10" s="4" t="s">
        <v>461</v>
      </c>
      <c r="DD10" s="4"/>
      <c r="DE10" s="6"/>
      <c r="DF10" s="6"/>
      <c r="DG10" s="33" t="str">
        <f>IF(DF10="","",DE10/DF10)</f>
        <v/>
      </c>
      <c r="DH10" s="42"/>
      <c r="DI10" s="3"/>
      <c r="DJ10" s="37" t="str">
        <f>IF(DI10="","",DI10/DH10)</f>
        <v/>
      </c>
      <c r="DK10" s="3"/>
      <c r="DL10" s="3"/>
      <c r="DM10" s="4" t="s">
        <v>461</v>
      </c>
      <c r="DN10" s="4"/>
      <c r="DO10" s="6"/>
      <c r="DP10" s="6"/>
      <c r="DQ10" s="33" t="str">
        <f>IF(DP10="","",DO10/DP10)</f>
        <v/>
      </c>
      <c r="DR10" s="42"/>
      <c r="DS10" s="3"/>
      <c r="DT10" s="37" t="str">
        <f>IF(DS10="","",DS10/DR10)</f>
        <v/>
      </c>
      <c r="DU10" s="3"/>
      <c r="DV10" s="3"/>
      <c r="DW10" s="36"/>
      <c r="DX10" s="4"/>
      <c r="DY10" s="6"/>
      <c r="DZ10" s="6"/>
      <c r="EA10" s="33" t="str">
        <f>IF(DZ10="","",DY10/DZ10)</f>
        <v/>
      </c>
      <c r="EB10" s="42"/>
      <c r="EC10" s="3"/>
      <c r="ED10" s="37" t="str">
        <f>IF(EC10="","",EC10/EB10)</f>
        <v/>
      </c>
      <c r="EE10" s="3"/>
      <c r="EF10" s="3"/>
      <c r="EG10" s="36"/>
      <c r="EH10" s="4"/>
      <c r="EI10" s="6"/>
      <c r="EJ10" s="6"/>
      <c r="EK10" s="33" t="str">
        <f>IF(EJ10="","",EI10/EJ10)</f>
        <v/>
      </c>
      <c r="EL10" s="42"/>
      <c r="EM10" s="3"/>
      <c r="EN10" s="37" t="str">
        <f>IF(EM10="","",EM10/EL10)</f>
        <v/>
      </c>
      <c r="EO10" s="3"/>
      <c r="EP10" s="3"/>
      <c r="EQ10" s="36"/>
      <c r="ER10" s="4"/>
      <c r="ES10" s="6"/>
      <c r="ET10" s="6"/>
      <c r="EU10" s="33" t="str">
        <f>IF(ET10="","",ES10/ET10)</f>
        <v/>
      </c>
      <c r="EV10" s="42"/>
      <c r="EW10" s="3"/>
      <c r="EX10" s="37" t="str">
        <f>IF(EW10="","",EW10/EV10)</f>
        <v/>
      </c>
      <c r="EY10" s="3"/>
      <c r="EZ10" s="3"/>
      <c r="FA10" s="36"/>
      <c r="FB10" s="4"/>
      <c r="FC10" s="6"/>
      <c r="FD10" s="6"/>
      <c r="FE10" s="33" t="str">
        <f>IF(FD10="","",FC10/FD10)</f>
        <v/>
      </c>
      <c r="FF10" s="42"/>
      <c r="FG10" s="3"/>
      <c r="FH10" s="37" t="str">
        <f>IF(FG10="","",FG10/FF10)</f>
        <v/>
      </c>
      <c r="FI10" s="3"/>
      <c r="FJ10" s="3"/>
      <c r="FM10" s="54">
        <f>SUM(FF10,EV10,EL10,EB10,DR10,DH10,CX10,CN10,CD10,BT10,BJ10,AZ10)</f>
        <v>3.802</v>
      </c>
      <c r="FN10" s="54">
        <f>SUM(FG10,EW10,EM10,EC10,DS10,DI10,CY10,CO10,CE10,BU10,BK10,BA10)</f>
        <v>22</v>
      </c>
      <c r="FO10" s="471">
        <f>SUM(FC10,ES10,EI10,DY10,DO10,DE10,CU10,CK10,CA10,BQ10,BG10,AW10)</f>
        <v>105.6</v>
      </c>
      <c r="FP10" s="471">
        <f>SUM(FD10,ET10,EJ10,DZ10,DP10,DF10,CV10,CL10,CB10,BR10,BH10,AX10)</f>
        <v>103.5</v>
      </c>
      <c r="FR10">
        <f t="shared" ref="FR10:FR28" si="18">FN10/FM10</f>
        <v>5.7864281956864811</v>
      </c>
    </row>
    <row r="11" spans="2:174" ht="93" customHeight="1">
      <c r="B11" s="188" t="s">
        <v>462</v>
      </c>
      <c r="C11" s="27" t="s">
        <v>223</v>
      </c>
      <c r="D11" s="28" t="s">
        <v>224</v>
      </c>
      <c r="E11" s="28">
        <v>7</v>
      </c>
      <c r="F11" s="123" t="str">
        <f t="shared" si="1"/>
        <v>×
[P・Q]
○・×</v>
      </c>
      <c r="G11" s="123" t="str">
        <f t="shared" si="2"/>
        <v>○
[P・Q]
○・○</v>
      </c>
      <c r="H11" s="123" t="str">
        <f>IF($E11&lt;H$9,"",IF(AND(BS11&gt;0.6,BV11&lt;=8,BW11=BX11),"○","×")&amp;CHAR(10)&amp;"[P・Q]"&amp;CHAR(10)&amp;IF(BS11="","--",IF(BS11&gt;0.6,"○","×"))&amp;IF(BV11="","・--",IF(BV11&lt;=8,"・○","・×")))</f>
        <v>○
[P・Q]
○・○</v>
      </c>
      <c r="I11" s="123" t="str">
        <f>IF($E11&lt;I$9,"",IF(AND(CC11&gt;0.6,CF11&lt;=8,CG11=CH11),"○","×")&amp;CHAR(10)&amp;"[P・Q]"&amp;CHAR(10)&amp;IF(CC11="","--",IF(CC11&gt;0.6,"○","×"))&amp;IF(CF11="","・--",IF(CF11&lt;=8,"・○","・×")))</f>
        <v>×
[P・Q]
×・○</v>
      </c>
      <c r="J11" s="123" t="str">
        <f t="shared" si="3"/>
        <v>×
[P・Q]
×・○</v>
      </c>
      <c r="K11" s="123" t="str">
        <f t="shared" si="4"/>
        <v>×
[P・Q]
×・○</v>
      </c>
      <c r="L11" s="123" t="str">
        <f t="shared" si="5"/>
        <v>○
[P・Q]
○・○</v>
      </c>
      <c r="M11" s="123" t="str">
        <f t="shared" si="6"/>
        <v/>
      </c>
      <c r="N11" s="123" t="str">
        <f t="shared" si="7"/>
        <v/>
      </c>
      <c r="O11" s="123" t="str">
        <f t="shared" si="8"/>
        <v/>
      </c>
      <c r="P11" s="123" t="str">
        <f t="shared" si="9"/>
        <v/>
      </c>
      <c r="Q11" s="123" t="str">
        <f t="shared" si="10"/>
        <v/>
      </c>
      <c r="R11" s="76">
        <f t="shared" si="11"/>
        <v>1</v>
      </c>
      <c r="S11" s="28">
        <v>5</v>
      </c>
      <c r="T11" s="28">
        <v>5</v>
      </c>
      <c r="U11" s="28">
        <v>5</v>
      </c>
      <c r="V11" s="28">
        <v>5</v>
      </c>
      <c r="W11" s="77">
        <f t="shared" si="12"/>
        <v>21.428571428571427</v>
      </c>
      <c r="X11" s="77">
        <f t="shared" si="13"/>
        <v>32.142857142857139</v>
      </c>
      <c r="Y11" s="77" cm="1">
        <f t="array" ref="Y11">_xlfn.IFS(R11&gt;=0.8,5,R11&gt;=0.6,3,R11&gt;=0.2,1,R11&lt;0.2,0)</f>
        <v>5</v>
      </c>
      <c r="Z11" s="140">
        <f>SUM(S11:Y11)</f>
        <v>78.571428571428569</v>
      </c>
      <c r="AA11" s="233" t="s">
        <v>463</v>
      </c>
      <c r="AB11" s="142" t="s">
        <v>464</v>
      </c>
      <c r="AC11" s="80" t="s">
        <v>251</v>
      </c>
      <c r="AD11" s="5" t="s">
        <v>465</v>
      </c>
      <c r="AE11" s="194" t="s">
        <v>174</v>
      </c>
      <c r="AF11" s="5" t="s">
        <v>466</v>
      </c>
      <c r="AG11" s="187"/>
      <c r="AH11" s="207">
        <f t="shared" si="14"/>
        <v>0.70211023539850725</v>
      </c>
      <c r="AI11" s="42">
        <f t="shared" si="15"/>
        <v>4.6786029439435017</v>
      </c>
      <c r="AJ11" s="80" t="str">
        <f t="shared" si="16"/>
        <v>HIGH</v>
      </c>
      <c r="AK11" s="80" t="str">
        <f t="shared" si="17"/>
        <v>HIGH</v>
      </c>
      <c r="AL11" s="3"/>
      <c r="AM11" s="3"/>
      <c r="AN11" s="126" t="str">
        <f>IF(AND(Z11&gt;Summary!$C$5, Z11&lt;=Summary!$D$5),Summary!$B$5,IF(AND(Z11&gt;Summary!$C$6, Z11&lt;=Summary!$D$6),Summary!$B$6,IF(AND(Z11&gt;Summary!$C$7, Z11&lt;=Summary!$D$7),Summary!$B$7,Summary!$B$8)))</f>
        <v>◎</v>
      </c>
      <c r="AO11" s="14" t="s">
        <v>168</v>
      </c>
      <c r="AP11" s="14"/>
      <c r="AQ11" s="14" t="s">
        <v>168</v>
      </c>
      <c r="AR11" s="14"/>
      <c r="AS11" s="14"/>
      <c r="AT11" s="5" t="s">
        <v>467</v>
      </c>
      <c r="AU11" s="36" t="s">
        <v>468</v>
      </c>
      <c r="AV11" s="4" t="s">
        <v>168</v>
      </c>
      <c r="AW11" s="6">
        <v>22.9</v>
      </c>
      <c r="AX11" s="6">
        <v>35</v>
      </c>
      <c r="AY11" s="33">
        <f t="shared" ref="AY11:AY31" si="19">IF(AX11="","",AW11/AX11)</f>
        <v>0.65428571428571425</v>
      </c>
      <c r="AZ11" s="42">
        <v>0.88100000000000001</v>
      </c>
      <c r="BA11" s="3">
        <v>8</v>
      </c>
      <c r="BB11" s="37">
        <f t="shared" ref="BB11:BB31" si="20">IF(BA11="","",BA11/AZ11)</f>
        <v>9.0805902383654935</v>
      </c>
      <c r="BC11" s="3">
        <v>8</v>
      </c>
      <c r="BD11" s="3">
        <v>8</v>
      </c>
      <c r="BE11" s="80" t="s">
        <v>469</v>
      </c>
      <c r="BF11" s="4" t="s">
        <v>168</v>
      </c>
      <c r="BG11" s="6">
        <v>22.9</v>
      </c>
      <c r="BH11" s="6">
        <v>34</v>
      </c>
      <c r="BI11" s="33">
        <f t="shared" ref="BI11:BI31" si="21">IF(BH11="","",BG11/BH11)</f>
        <v>0.67352941176470582</v>
      </c>
      <c r="BJ11" s="42">
        <v>0.72</v>
      </c>
      <c r="BK11" s="3">
        <v>5</v>
      </c>
      <c r="BL11" s="37">
        <f t="shared" ref="BL11:BL31" si="22">IF(BK11="","",BK11/BJ11)</f>
        <v>6.9444444444444446</v>
      </c>
      <c r="BM11" s="3">
        <v>5</v>
      </c>
      <c r="BN11" s="3">
        <v>5</v>
      </c>
      <c r="BO11" s="80" t="s">
        <v>470</v>
      </c>
      <c r="BP11" s="4" t="s">
        <v>168</v>
      </c>
      <c r="BQ11" s="6">
        <v>22.7</v>
      </c>
      <c r="BR11" s="6">
        <v>23</v>
      </c>
      <c r="BS11" s="33">
        <f t="shared" ref="BS11:BS31" si="23">IF(BR11="","",BQ11/BR11)</f>
        <v>0.9869565217391304</v>
      </c>
      <c r="BT11" s="42">
        <v>0.71799999999999997</v>
      </c>
      <c r="BU11" s="3">
        <v>3</v>
      </c>
      <c r="BV11" s="37">
        <f t="shared" ref="BV11:BV31" si="24">IF(BU11="","",BU11/BT11)</f>
        <v>4.1782729805013927</v>
      </c>
      <c r="BW11" s="3">
        <v>3</v>
      </c>
      <c r="BX11" s="3">
        <v>3</v>
      </c>
      <c r="BY11" s="80" t="s">
        <v>471</v>
      </c>
      <c r="BZ11" s="4" t="s">
        <v>168</v>
      </c>
      <c r="CA11" s="6">
        <v>10.7</v>
      </c>
      <c r="CB11" s="6">
        <v>27</v>
      </c>
      <c r="CC11" s="33">
        <f t="shared" ref="CC11:CC31" si="25">IF(CB11="","",CA11/CB11)</f>
        <v>0.39629629629629626</v>
      </c>
      <c r="CD11" s="42">
        <v>0.38100000000000001</v>
      </c>
      <c r="CE11" s="3">
        <v>3</v>
      </c>
      <c r="CF11" s="37">
        <f t="shared" ref="CF11:CF31" si="26">IF(CE11="","",CE11/CD11)</f>
        <v>7.8740157480314963</v>
      </c>
      <c r="CG11" s="3">
        <v>3</v>
      </c>
      <c r="CH11" s="3">
        <v>3</v>
      </c>
      <c r="CI11" s="80" t="s">
        <v>472</v>
      </c>
      <c r="CJ11" s="4" t="s">
        <v>168</v>
      </c>
      <c r="CK11" s="6">
        <v>15.4</v>
      </c>
      <c r="CL11" s="6">
        <v>27</v>
      </c>
      <c r="CM11" s="33">
        <f t="shared" ref="CM11:CM31" si="27">IF(CL11="","",CK11/CL11)</f>
        <v>0.57037037037037042</v>
      </c>
      <c r="CN11" s="42">
        <v>0.214</v>
      </c>
      <c r="CO11" s="3">
        <v>1</v>
      </c>
      <c r="CP11" s="37">
        <f t="shared" ref="CP11:CP31" si="28">IF(CO11="","",CO11/CN11)</f>
        <v>4.6728971962616823</v>
      </c>
      <c r="CQ11" s="3">
        <v>1</v>
      </c>
      <c r="CR11" s="3">
        <v>1</v>
      </c>
      <c r="CS11" s="80" t="s">
        <v>473</v>
      </c>
      <c r="CT11" s="4" t="s">
        <v>168</v>
      </c>
      <c r="CU11" s="6">
        <v>10.5</v>
      </c>
      <c r="CV11" s="6">
        <v>18</v>
      </c>
      <c r="CW11" s="33">
        <f t="shared" ref="CW11:CW31" si="29">IF(CV11="","",CU11/CV11)</f>
        <v>0.58333333333333337</v>
      </c>
      <c r="CX11" s="42">
        <v>0.186</v>
      </c>
      <c r="CY11" s="3">
        <v>0</v>
      </c>
      <c r="CZ11" s="37">
        <f t="shared" ref="CZ11:CZ31" si="30">IF(CY11="","",CY11/CX11)</f>
        <v>0</v>
      </c>
      <c r="DA11" s="3">
        <v>0</v>
      </c>
      <c r="DB11" s="3">
        <v>0</v>
      </c>
      <c r="DC11" s="80" t="s">
        <v>474</v>
      </c>
      <c r="DD11" s="4" t="s">
        <v>168</v>
      </c>
      <c r="DE11" s="6">
        <v>10.5</v>
      </c>
      <c r="DF11" s="6">
        <v>10</v>
      </c>
      <c r="DG11" s="33">
        <f t="shared" ref="DG11:DG31" si="31">IF(DF11="","",DE11/DF11)</f>
        <v>1.05</v>
      </c>
      <c r="DH11" s="42">
        <v>0.248</v>
      </c>
      <c r="DI11" s="3">
        <v>0</v>
      </c>
      <c r="DJ11" s="37">
        <f t="shared" ref="DJ11:DJ31" si="32">IF(DI11="","",DI11/DH11)</f>
        <v>0</v>
      </c>
      <c r="DK11" s="3">
        <v>0</v>
      </c>
      <c r="DL11" s="3">
        <v>0</v>
      </c>
      <c r="DM11" s="4" t="s">
        <v>461</v>
      </c>
      <c r="DN11" s="4"/>
      <c r="DO11" s="6"/>
      <c r="DP11" s="6"/>
      <c r="DQ11" s="33" t="str">
        <f t="shared" ref="DQ11:DQ31" si="33">IF(DP11="","",DO11/DP11)</f>
        <v/>
      </c>
      <c r="DR11" s="42"/>
      <c r="DS11" s="3"/>
      <c r="DT11" s="37" t="str">
        <f t="shared" ref="DT11:DT31" si="34">IF(DS11="","",DS11/DR11)</f>
        <v/>
      </c>
      <c r="DU11" s="3"/>
      <c r="DV11" s="3"/>
      <c r="DW11" s="36"/>
      <c r="DX11" s="4"/>
      <c r="DY11" s="6"/>
      <c r="DZ11" s="6"/>
      <c r="EA11" s="33" t="str">
        <f t="shared" ref="EA11:EA31" si="35">IF(DZ11="","",DY11/DZ11)</f>
        <v/>
      </c>
      <c r="EB11" s="42"/>
      <c r="EC11" s="3"/>
      <c r="ED11" s="37" t="str">
        <f t="shared" ref="ED11:ED31" si="36">IF(EC11="","",EC11/EB11)</f>
        <v/>
      </c>
      <c r="EE11" s="3"/>
      <c r="EF11" s="3"/>
      <c r="EG11" s="36"/>
      <c r="EH11" s="4"/>
      <c r="EI11" s="6"/>
      <c r="EJ11" s="6"/>
      <c r="EK11" s="33" t="str">
        <f t="shared" ref="EK11:EK31" si="37">IF(EJ11="","",EI11/EJ11)</f>
        <v/>
      </c>
      <c r="EL11" s="42"/>
      <c r="EM11" s="3"/>
      <c r="EN11" s="37" t="str">
        <f t="shared" ref="EN11:EN31" si="38">IF(EM11="","",EM11/EL11)</f>
        <v/>
      </c>
      <c r="EO11" s="3"/>
      <c r="EP11" s="3"/>
      <c r="EQ11" s="36"/>
      <c r="ER11" s="4"/>
      <c r="ES11" s="6"/>
      <c r="ET11" s="6"/>
      <c r="EU11" s="33" t="str">
        <f t="shared" ref="EU11:EU31" si="39">IF(ET11="","",ES11/ET11)</f>
        <v/>
      </c>
      <c r="EV11" s="42"/>
      <c r="EW11" s="3"/>
      <c r="EX11" s="37" t="str">
        <f t="shared" ref="EX11:EX31" si="40">IF(EW11="","",EW11/EV11)</f>
        <v/>
      </c>
      <c r="EY11" s="3"/>
      <c r="EZ11" s="3"/>
      <c r="FA11" s="36"/>
      <c r="FB11" s="4"/>
      <c r="FC11" s="6"/>
      <c r="FD11" s="6"/>
      <c r="FE11" s="33" t="str">
        <f t="shared" ref="FE11:FE31" si="41">IF(FD11="","",FC11/FD11)</f>
        <v/>
      </c>
      <c r="FF11" s="42"/>
      <c r="FG11" s="3"/>
      <c r="FH11" s="37" t="str">
        <f t="shared" ref="FH11:FH31" si="42">IF(FG11="","",FG11/FF11)</f>
        <v/>
      </c>
      <c r="FI11" s="3"/>
      <c r="FJ11" s="3"/>
      <c r="FM11" s="54">
        <f>SUM(FF11,EV11,EL11,EB11,DR11,DH11,CX11,CN11,CD11,BT11,BJ11,AZ11)</f>
        <v>3.3479999999999999</v>
      </c>
      <c r="FN11" s="54">
        <f>SUM(FG11,EW11,EM11,EC11,DS11,DI11,CY11,CO11,CE11,BU11,BK11,BA11)</f>
        <v>20</v>
      </c>
      <c r="FO11" s="471">
        <f t="shared" ref="FO11:FP31" si="43">SUM(FC11,ES11,EI11,DY11,DO11,DE11,CU11,CK11,CA11,BQ11,BG11,AW11)</f>
        <v>115.6</v>
      </c>
      <c r="FP11" s="471">
        <f t="shared" si="43"/>
        <v>174</v>
      </c>
      <c r="FR11">
        <f t="shared" si="18"/>
        <v>5.9737156511350058</v>
      </c>
    </row>
    <row r="12" spans="2:174" ht="83.85" customHeight="1">
      <c r="B12" s="3" t="s">
        <v>475</v>
      </c>
      <c r="C12" s="187" t="s">
        <v>287</v>
      </c>
      <c r="D12" s="4" t="s">
        <v>224</v>
      </c>
      <c r="E12" s="28">
        <v>6</v>
      </c>
      <c r="F12" s="123" t="str">
        <f t="shared" si="1"/>
        <v>×
[P・Q]
×・○</v>
      </c>
      <c r="G12" s="123" t="str">
        <f t="shared" si="2"/>
        <v>×
[P・Q]
×・○</v>
      </c>
      <c r="H12" s="123" t="str">
        <f>IF($E12&lt;H$9,"",IF(AND(BS12&gt;0.6,BV12&lt;=8,BW12=BX12),"○","×")&amp;CHAR(10)&amp;"[P・Q]"&amp;CHAR(10)&amp;IF(BS12="","--",IF(BS12&gt;0.6,"○","×"))&amp;IF(BV12="","・--",IF(BV12&lt;=8,"・○","・×")))</f>
        <v>×
[P・Q]
×・○</v>
      </c>
      <c r="I12" s="123" t="str">
        <f>IF($E12&lt;I$9,"",IF(AND(CC12&gt;0.6,CF12&lt;=8,CG12=CH12),"○","×")&amp;CHAR(10)&amp;"[P・Q]"&amp;CHAR(10)&amp;IF(CC12="","--",IF(CC12&gt;0.6,"○","×"))&amp;IF(CF12="","・--",IF(CF12&lt;=8,"・○","・×")))</f>
        <v>○
[P・Q]
○・○</v>
      </c>
      <c r="J12" s="123" t="str">
        <f t="shared" si="3"/>
        <v>○
[P・Q]
○・○</v>
      </c>
      <c r="K12" s="123" t="str">
        <f t="shared" si="4"/>
        <v>×
[P・Q]
×・○</v>
      </c>
      <c r="L12" s="123" t="str">
        <f t="shared" si="5"/>
        <v/>
      </c>
      <c r="M12" s="123" t="str">
        <f t="shared" si="6"/>
        <v/>
      </c>
      <c r="N12" s="123" t="str">
        <f t="shared" si="7"/>
        <v/>
      </c>
      <c r="O12" s="123" t="str">
        <f t="shared" si="8"/>
        <v/>
      </c>
      <c r="P12" s="123" t="str">
        <f t="shared" si="9"/>
        <v/>
      </c>
      <c r="Q12" s="123" t="str">
        <f t="shared" si="10"/>
        <v/>
      </c>
      <c r="R12" s="76">
        <f t="shared" si="11"/>
        <v>1</v>
      </c>
      <c r="S12" s="28">
        <v>3</v>
      </c>
      <c r="T12" s="28">
        <v>5</v>
      </c>
      <c r="U12" s="28">
        <v>3</v>
      </c>
      <c r="V12" s="28">
        <v>3</v>
      </c>
      <c r="W12" s="77">
        <f t="shared" si="12"/>
        <v>12.5</v>
      </c>
      <c r="X12" s="77">
        <f t="shared" si="13"/>
        <v>37.5</v>
      </c>
      <c r="Y12" s="77" cm="1">
        <f t="array" ref="Y12">_xlfn.IFS(R12&gt;=0.8,5,R12&gt;=0.6,3,R12&gt;=0.2,1,R12&lt;0.2,0)</f>
        <v>5</v>
      </c>
      <c r="Z12" s="140">
        <f t="shared" ref="Z12:Z25" si="44">SUM(S12:Y12)</f>
        <v>69</v>
      </c>
      <c r="AA12" s="228" t="s">
        <v>476</v>
      </c>
      <c r="AB12" s="142" t="s">
        <v>477</v>
      </c>
      <c r="AC12" s="80" t="s">
        <v>251</v>
      </c>
      <c r="AD12" s="99" t="s">
        <v>478</v>
      </c>
      <c r="AE12" s="5"/>
      <c r="AF12" s="130" t="s">
        <v>479</v>
      </c>
      <c r="AG12" s="5"/>
      <c r="AH12" s="207">
        <f>IFERROR(AVERAGE(AY12,BI12,BS12,CC12,CM12,CW12,DG12,DQ12,EA12,EK12)," ")</f>
        <v>0.79171506727172591</v>
      </c>
      <c r="AI12" s="42">
        <f t="shared" si="15"/>
        <v>3.4537593435035787</v>
      </c>
      <c r="AJ12" s="131" t="str">
        <f>IFERROR(IF(AH12&gt;=0.6,"HIGH","LOW"),"")</f>
        <v>HIGH</v>
      </c>
      <c r="AK12" s="131" t="str">
        <f>IFERROR(IF(AI12&lt;=8,"HIGH","LOW"),"")</f>
        <v>HIGH</v>
      </c>
      <c r="AL12" s="99" t="s">
        <v>480</v>
      </c>
      <c r="AM12" s="320"/>
      <c r="AN12" s="218" t="str">
        <f>IF(AND(Z12&gt;Summary!$C$5, Z12&lt;=Summary!$D$5),Summary!$B$5,IF(AND(Z12&gt;Summary!$C$6, Z12&lt;=Summary!$D$6),Summary!$B$6,IF(AND(Z12&gt;Summary!$C$7, Z12&lt;=Summary!$D$7),Summary!$B$7,Summary!$B$8)))</f>
        <v>○</v>
      </c>
      <c r="AO12" s="219" t="s">
        <v>168</v>
      </c>
      <c r="AP12" s="14"/>
      <c r="AQ12" s="14"/>
      <c r="AR12" s="14" t="s">
        <v>168</v>
      </c>
      <c r="AS12" s="14"/>
      <c r="AT12" s="29" t="s">
        <v>481</v>
      </c>
      <c r="AU12" s="36" t="s">
        <v>482</v>
      </c>
      <c r="AV12" s="4" t="s">
        <v>168</v>
      </c>
      <c r="AW12" s="6">
        <v>25.8</v>
      </c>
      <c r="AX12" s="6">
        <v>50.5</v>
      </c>
      <c r="AY12" s="33">
        <f t="shared" si="19"/>
        <v>0.5108910891089109</v>
      </c>
      <c r="AZ12" s="42">
        <v>0.8</v>
      </c>
      <c r="BA12" s="3">
        <v>6</v>
      </c>
      <c r="BB12" s="37">
        <f t="shared" si="20"/>
        <v>7.5</v>
      </c>
      <c r="BC12" s="3">
        <v>6</v>
      </c>
      <c r="BD12" s="3">
        <v>6</v>
      </c>
      <c r="BE12" s="80" t="s">
        <v>483</v>
      </c>
      <c r="BF12" s="4" t="s">
        <v>168</v>
      </c>
      <c r="BG12" s="6">
        <v>10.6</v>
      </c>
      <c r="BH12" s="6">
        <v>21</v>
      </c>
      <c r="BI12" s="33">
        <f t="shared" si="21"/>
        <v>0.50476190476190474</v>
      </c>
      <c r="BJ12" s="42">
        <v>0.45500000000000002</v>
      </c>
      <c r="BK12" s="3">
        <v>1</v>
      </c>
      <c r="BL12" s="37">
        <f>IF(BK12="","",BK12/BJ12)</f>
        <v>2.1978021978021975</v>
      </c>
      <c r="BM12" s="3">
        <v>1</v>
      </c>
      <c r="BN12" s="3">
        <v>1</v>
      </c>
      <c r="BO12" s="80" t="s">
        <v>484</v>
      </c>
      <c r="BP12" s="4" t="s">
        <v>168</v>
      </c>
      <c r="BQ12" s="6">
        <v>23.7</v>
      </c>
      <c r="BR12" s="6">
        <v>44.5</v>
      </c>
      <c r="BS12" s="33">
        <f t="shared" si="23"/>
        <v>0.53258426966292138</v>
      </c>
      <c r="BT12" s="42">
        <v>1.008</v>
      </c>
      <c r="BU12" s="3">
        <v>6</v>
      </c>
      <c r="BV12" s="37">
        <f t="shared" si="24"/>
        <v>5.9523809523809526</v>
      </c>
      <c r="BW12" s="3">
        <v>6</v>
      </c>
      <c r="BX12" s="3">
        <v>6</v>
      </c>
      <c r="BY12" s="80" t="s">
        <v>485</v>
      </c>
      <c r="BZ12" s="4" t="s">
        <v>168</v>
      </c>
      <c r="CA12" s="6">
        <v>22.8</v>
      </c>
      <c r="CB12" s="6">
        <v>27</v>
      </c>
      <c r="CC12" s="33">
        <f t="shared" si="25"/>
        <v>0.84444444444444444</v>
      </c>
      <c r="CD12" s="42">
        <v>1.4239999999999999</v>
      </c>
      <c r="CE12" s="3">
        <v>1</v>
      </c>
      <c r="CF12" s="37">
        <f t="shared" si="26"/>
        <v>0.702247191011236</v>
      </c>
      <c r="CG12" s="3">
        <v>1</v>
      </c>
      <c r="CH12" s="3">
        <v>1</v>
      </c>
      <c r="CI12" s="80" t="s">
        <v>486</v>
      </c>
      <c r="CJ12" s="4" t="s">
        <v>168</v>
      </c>
      <c r="CK12" s="6">
        <v>22.8</v>
      </c>
      <c r="CL12" s="6">
        <v>11.5</v>
      </c>
      <c r="CM12" s="33">
        <f t="shared" si="27"/>
        <v>1.982608695652174</v>
      </c>
      <c r="CN12" s="42">
        <v>2.198</v>
      </c>
      <c r="CO12" s="3">
        <v>2</v>
      </c>
      <c r="CP12" s="37">
        <f>IF(CO12="","",CO12/CN12)</f>
        <v>0.90991810737033674</v>
      </c>
      <c r="CQ12" s="3">
        <v>2</v>
      </c>
      <c r="CR12" s="3">
        <v>2</v>
      </c>
      <c r="CS12" s="80" t="s">
        <v>487</v>
      </c>
      <c r="CT12" s="4" t="s">
        <v>168</v>
      </c>
      <c r="CU12" s="6">
        <v>10.5</v>
      </c>
      <c r="CV12" s="6">
        <v>28</v>
      </c>
      <c r="CW12" s="33">
        <f t="shared" si="29"/>
        <v>0.375</v>
      </c>
      <c r="CX12" s="42">
        <v>0.28899999999999998</v>
      </c>
      <c r="CY12" s="3">
        <v>1</v>
      </c>
      <c r="CZ12" s="37">
        <f t="shared" si="30"/>
        <v>3.4602076124567476</v>
      </c>
      <c r="DA12" s="3">
        <v>1</v>
      </c>
      <c r="DB12" s="3">
        <v>1</v>
      </c>
      <c r="DC12" s="4" t="s">
        <v>461</v>
      </c>
      <c r="DD12" s="4"/>
      <c r="DE12" s="6"/>
      <c r="DF12" s="6"/>
      <c r="DG12" s="33" t="str">
        <f t="shared" si="31"/>
        <v/>
      </c>
      <c r="DH12" s="42"/>
      <c r="DI12" s="3"/>
      <c r="DJ12" s="37" t="str">
        <f t="shared" si="32"/>
        <v/>
      </c>
      <c r="DK12" s="3"/>
      <c r="DL12" s="3"/>
      <c r="DM12" s="4" t="s">
        <v>461</v>
      </c>
      <c r="DN12" s="4"/>
      <c r="DO12" s="6"/>
      <c r="DP12" s="6"/>
      <c r="DQ12" s="33" t="str">
        <f t="shared" si="33"/>
        <v/>
      </c>
      <c r="DR12" s="42"/>
      <c r="DS12" s="3"/>
      <c r="DT12" s="37" t="str">
        <f t="shared" si="34"/>
        <v/>
      </c>
      <c r="DU12" s="3"/>
      <c r="DV12" s="3"/>
      <c r="DW12" s="36"/>
      <c r="DX12" s="4"/>
      <c r="DY12" s="6"/>
      <c r="DZ12" s="6"/>
      <c r="EA12" s="33" t="str">
        <f t="shared" si="35"/>
        <v/>
      </c>
      <c r="EB12" s="42"/>
      <c r="EC12" s="3"/>
      <c r="ED12" s="37" t="str">
        <f t="shared" si="36"/>
        <v/>
      </c>
      <c r="EE12" s="3"/>
      <c r="EF12" s="3"/>
      <c r="EG12" s="36"/>
      <c r="EH12" s="4"/>
      <c r="EI12" s="6"/>
      <c r="EJ12" s="6"/>
      <c r="EK12" s="33" t="str">
        <f t="shared" si="37"/>
        <v/>
      </c>
      <c r="EL12" s="42"/>
      <c r="EM12" s="3"/>
      <c r="EN12" s="37" t="str">
        <f t="shared" si="38"/>
        <v/>
      </c>
      <c r="EO12" s="3"/>
      <c r="EP12" s="3"/>
      <c r="EQ12" s="36"/>
      <c r="ER12" s="4"/>
      <c r="ES12" s="6"/>
      <c r="ET12" s="6"/>
      <c r="EU12" s="33" t="str">
        <f t="shared" si="39"/>
        <v/>
      </c>
      <c r="EV12" s="42"/>
      <c r="EW12" s="3"/>
      <c r="EX12" s="37" t="str">
        <f t="shared" si="40"/>
        <v/>
      </c>
      <c r="EY12" s="3"/>
      <c r="EZ12" s="3"/>
      <c r="FA12" s="36"/>
      <c r="FB12" s="4"/>
      <c r="FC12" s="6"/>
      <c r="FD12" s="6"/>
      <c r="FE12" s="33" t="str">
        <f t="shared" si="41"/>
        <v/>
      </c>
      <c r="FF12" s="42"/>
      <c r="FG12" s="3"/>
      <c r="FH12" s="37" t="str">
        <f t="shared" si="42"/>
        <v/>
      </c>
      <c r="FI12" s="3"/>
      <c r="FJ12" s="3"/>
      <c r="FM12" s="54">
        <f t="shared" ref="FM12:FN31" si="45">SUM(FF12,EV12,EL12,EB12,DR12,DH12,CX12,CN12,CD12,BT12,BJ12,AZ12)</f>
        <v>6.1740000000000004</v>
      </c>
      <c r="FN12" s="54">
        <f t="shared" si="45"/>
        <v>17</v>
      </c>
      <c r="FO12" s="471">
        <f t="shared" si="43"/>
        <v>116.19999999999999</v>
      </c>
      <c r="FP12" s="471">
        <f t="shared" si="43"/>
        <v>182.5</v>
      </c>
      <c r="FR12">
        <f t="shared" si="18"/>
        <v>2.75348234531908</v>
      </c>
    </row>
    <row r="13" spans="2:174" ht="180" customHeight="1">
      <c r="B13" s="92" t="s">
        <v>488</v>
      </c>
      <c r="C13" s="3" t="s">
        <v>287</v>
      </c>
      <c r="D13" s="4" t="s">
        <v>224</v>
      </c>
      <c r="E13" s="28">
        <v>7</v>
      </c>
      <c r="F13" s="123" t="str">
        <f t="shared" si="1"/>
        <v>×
[P・Q]
○・×</v>
      </c>
      <c r="G13" s="123" t="str">
        <f t="shared" si="2"/>
        <v>×
[P・Q]
○・×</v>
      </c>
      <c r="H13" s="123" t="str">
        <f>IF($E13&lt;H$9,"",IF(AND(BJ13&gt;0.6,BM13&lt;=8,BN13=BO13),"○","×")&amp;CHAR(10)&amp;"[P・Q]"&amp;CHAR(10)&amp;IF(BJ13="","--",IF(BJ13&gt;0.6,"○","×"))&amp;IF(BM13="","・--",IF(BM13&lt;=8,"・○","・×")))</f>
        <v>×
[P・Q]
×・○</v>
      </c>
      <c r="I13" s="123" t="str">
        <f>IF($E13&lt;I$9,"",IF(AND(BK13&gt;0.6,BN13&lt;=8,BO13=BP13),"○","×")&amp;CHAR(10)&amp;"[P・Q]"&amp;CHAR(10)&amp;IF(BK13="","--",IF(BK13&gt;0.6,"○","×"))&amp;IF(BN13="","・--",IF(BN13&lt;=8,"・○","・×")))</f>
        <v>×
[P・Q]
○・○</v>
      </c>
      <c r="J13" s="123" t="str">
        <f t="shared" si="3"/>
        <v>○
[P・Q]
○・○</v>
      </c>
      <c r="K13" s="123" t="str">
        <f t="shared" si="4"/>
        <v>○
[P・Q]
○・○</v>
      </c>
      <c r="L13" s="123" t="str">
        <f t="shared" si="5"/>
        <v>○
[P・Q]
○・○</v>
      </c>
      <c r="M13" s="123" t="str">
        <f t="shared" si="6"/>
        <v/>
      </c>
      <c r="N13" s="123" t="str">
        <f t="shared" si="7"/>
        <v/>
      </c>
      <c r="O13" s="123" t="str">
        <f t="shared" si="8"/>
        <v/>
      </c>
      <c r="P13" s="123" t="str">
        <f t="shared" si="9"/>
        <v/>
      </c>
      <c r="Q13" s="123" t="str">
        <f t="shared" si="10"/>
        <v/>
      </c>
      <c r="R13" s="76">
        <f t="shared" si="11"/>
        <v>1</v>
      </c>
      <c r="S13" s="28">
        <v>3</v>
      </c>
      <c r="T13" s="28">
        <v>5</v>
      </c>
      <c r="U13" s="28">
        <v>5</v>
      </c>
      <c r="V13" s="28">
        <v>5</v>
      </c>
      <c r="W13" s="77">
        <f t="shared" si="12"/>
        <v>37.5</v>
      </c>
      <c r="X13" s="77">
        <f t="shared" si="13"/>
        <v>21.428571428571427</v>
      </c>
      <c r="Y13" s="77" cm="1">
        <f t="array" ref="Y13">_xlfn.IFS(R13&gt;=0.8,5,R13&gt;=0.6,3,R13&gt;=0.2,1,R13&lt;0.2,0)</f>
        <v>5</v>
      </c>
      <c r="Z13" s="140">
        <f t="shared" si="44"/>
        <v>81.928571428571431</v>
      </c>
      <c r="AA13" s="233" t="s">
        <v>489</v>
      </c>
      <c r="AB13" s="142" t="s">
        <v>490</v>
      </c>
      <c r="AC13" s="52" t="s">
        <v>251</v>
      </c>
      <c r="AD13" s="5" t="s">
        <v>491</v>
      </c>
      <c r="AE13" s="187"/>
      <c r="AF13" s="5" t="s">
        <v>492</v>
      </c>
      <c r="AG13" s="308">
        <f>TaskEndDay!H25</f>
        <v>1</v>
      </c>
      <c r="AH13" s="207">
        <f>IFERROR(AVERAGE(AY13,BI13,BS13,CC13,CM13,CW13,DG13,DQ13,EA13,EK13)," ")</f>
        <v>0.73761557762359209</v>
      </c>
      <c r="AI13" s="42">
        <f>IFERROR(AVERAGE(BB13,BL13,BV13,CF13,CP13,CZ13,DJ13,DT13,ED13,EN13)," ")</f>
        <v>4.6047289159323741</v>
      </c>
      <c r="AJ13" s="80" t="str">
        <f t="shared" si="16"/>
        <v>HIGH</v>
      </c>
      <c r="AK13" s="80" t="str">
        <f t="shared" si="17"/>
        <v>HIGH</v>
      </c>
      <c r="AL13" s="99" t="s">
        <v>493</v>
      </c>
      <c r="AM13" s="5" t="s">
        <v>494</v>
      </c>
      <c r="AN13" s="126" t="str">
        <f>IF(AND(Z13&gt;Summary!$C$5, Z13&lt;=Summary!$D$5),Summary!$B$5,IF(AND(Z13&gt;Summary!$C$6, Z13&lt;=Summary!$D$6),Summary!$B$6,IF(AND(Z13&gt;Summary!$C$7, Z13&lt;=Summary!$D$7),Summary!$B$7,Summary!$B$8)))</f>
        <v>◎</v>
      </c>
      <c r="AO13" s="14" t="s">
        <v>168</v>
      </c>
      <c r="AP13" s="14"/>
      <c r="AQ13" s="14"/>
      <c r="AR13" s="14"/>
      <c r="AS13" s="14" t="s">
        <v>168</v>
      </c>
      <c r="AT13" s="5" t="s">
        <v>495</v>
      </c>
      <c r="AU13" s="80" t="s">
        <v>496</v>
      </c>
      <c r="AV13" s="4" t="s">
        <v>168</v>
      </c>
      <c r="AW13" s="99">
        <v>19.399999999999999</v>
      </c>
      <c r="AX13" s="6">
        <v>22.5</v>
      </c>
      <c r="AY13" s="33">
        <f t="shared" si="19"/>
        <v>0.86222222222222211</v>
      </c>
      <c r="AZ13" s="42">
        <v>0.23400000000000001</v>
      </c>
      <c r="BA13" s="3">
        <v>2</v>
      </c>
      <c r="BB13" s="37">
        <f t="shared" si="20"/>
        <v>8.5470085470085468</v>
      </c>
      <c r="BC13" s="3">
        <v>2</v>
      </c>
      <c r="BD13" s="3">
        <v>2</v>
      </c>
      <c r="BE13" s="80" t="s">
        <v>497</v>
      </c>
      <c r="BF13" s="4" t="s">
        <v>168</v>
      </c>
      <c r="BG13" s="6">
        <v>10.6</v>
      </c>
      <c r="BH13" s="6">
        <v>14</v>
      </c>
      <c r="BI13" s="33">
        <f t="shared" si="21"/>
        <v>0.75714285714285712</v>
      </c>
      <c r="BJ13" s="42">
        <v>0.223</v>
      </c>
      <c r="BK13" s="3">
        <v>2</v>
      </c>
      <c r="BL13" s="37">
        <f t="shared" si="22"/>
        <v>8.9686098654708513</v>
      </c>
      <c r="BM13" s="3">
        <v>2</v>
      </c>
      <c r="BN13" s="3">
        <v>2</v>
      </c>
      <c r="BO13" s="80" t="s">
        <v>498</v>
      </c>
      <c r="BP13" s="4" t="s">
        <v>168</v>
      </c>
      <c r="BQ13" s="6">
        <v>22.9</v>
      </c>
      <c r="BR13" s="6">
        <v>37</v>
      </c>
      <c r="BS13" s="33">
        <f t="shared" si="23"/>
        <v>0.61891891891891893</v>
      </c>
      <c r="BT13" s="42">
        <v>3.0819999999999999</v>
      </c>
      <c r="BU13" s="3">
        <v>3</v>
      </c>
      <c r="BV13" s="37">
        <f t="shared" si="24"/>
        <v>0.97339390006489301</v>
      </c>
      <c r="BW13" s="3">
        <v>3</v>
      </c>
      <c r="BX13" s="3">
        <v>3</v>
      </c>
      <c r="BY13" s="80" t="s">
        <v>499</v>
      </c>
      <c r="BZ13" s="4" t="s">
        <v>168</v>
      </c>
      <c r="CA13" s="6">
        <v>18.7</v>
      </c>
      <c r="CB13" s="6">
        <v>23</v>
      </c>
      <c r="CC13" s="33">
        <f t="shared" si="25"/>
        <v>0.81304347826086953</v>
      </c>
      <c r="CD13" s="42">
        <v>2.113</v>
      </c>
      <c r="CE13" s="3"/>
      <c r="CF13" s="37" t="str">
        <f t="shared" si="26"/>
        <v/>
      </c>
      <c r="CG13" s="3"/>
      <c r="CH13" s="3"/>
      <c r="CI13" s="80" t="s">
        <v>500</v>
      </c>
      <c r="CJ13" s="4" t="s">
        <v>168</v>
      </c>
      <c r="CK13" s="6">
        <v>10.5</v>
      </c>
      <c r="CL13" s="6">
        <v>15.5</v>
      </c>
      <c r="CM13" s="33">
        <f>IF(CL13="","",CK13/CL13)</f>
        <v>0.67741935483870963</v>
      </c>
      <c r="CN13" s="42">
        <v>0.32100000000000001</v>
      </c>
      <c r="CO13" s="3">
        <v>1</v>
      </c>
      <c r="CP13" s="37">
        <f t="shared" si="28"/>
        <v>3.1152647975077881</v>
      </c>
      <c r="CQ13" s="3">
        <v>1</v>
      </c>
      <c r="CR13" s="3">
        <v>1</v>
      </c>
      <c r="CS13" s="80" t="s">
        <v>501</v>
      </c>
      <c r="CT13" s="4" t="s">
        <v>168</v>
      </c>
      <c r="CU13" s="6">
        <v>10.6</v>
      </c>
      <c r="CV13" s="6">
        <v>14</v>
      </c>
      <c r="CW13" s="33">
        <f t="shared" si="29"/>
        <v>0.75714285714285712</v>
      </c>
      <c r="CX13" s="42">
        <v>0.5</v>
      </c>
      <c r="CY13" s="3">
        <v>0</v>
      </c>
      <c r="CZ13" s="37">
        <f t="shared" si="30"/>
        <v>0</v>
      </c>
      <c r="DA13" s="3">
        <v>0</v>
      </c>
      <c r="DB13" s="3">
        <v>0</v>
      </c>
      <c r="DC13" s="80" t="s">
        <v>502</v>
      </c>
      <c r="DD13" s="4" t="s">
        <v>168</v>
      </c>
      <c r="DE13" s="6">
        <v>10.5</v>
      </c>
      <c r="DF13">
        <v>15.5</v>
      </c>
      <c r="DG13" s="33">
        <f>IF(DF13="","",DE13/DF13)</f>
        <v>0.67741935483870963</v>
      </c>
      <c r="DH13" s="42">
        <v>0.16600000000000001</v>
      </c>
      <c r="DI13" s="3">
        <v>1</v>
      </c>
      <c r="DJ13" s="37">
        <f>IF(DI13="","",DI13/DH13)</f>
        <v>6.0240963855421681</v>
      </c>
      <c r="DK13" s="3">
        <v>1</v>
      </c>
      <c r="DL13" s="3">
        <v>1</v>
      </c>
      <c r="DM13" s="4" t="s">
        <v>461</v>
      </c>
      <c r="DN13" s="4"/>
      <c r="DO13" s="6"/>
      <c r="DP13" s="6"/>
      <c r="DQ13" s="33" t="str">
        <f t="shared" si="33"/>
        <v/>
      </c>
      <c r="DR13" s="42"/>
      <c r="DS13" s="3"/>
      <c r="DT13" s="37" t="str">
        <f t="shared" si="34"/>
        <v/>
      </c>
      <c r="DU13" s="3"/>
      <c r="DV13" s="3"/>
      <c r="DW13" s="36"/>
      <c r="DX13" s="4"/>
      <c r="DY13" s="6"/>
      <c r="DZ13" s="6"/>
      <c r="EA13" s="33" t="str">
        <f t="shared" si="35"/>
        <v/>
      </c>
      <c r="EB13" s="42"/>
      <c r="EC13" s="3"/>
      <c r="ED13" s="37" t="str">
        <f t="shared" si="36"/>
        <v/>
      </c>
      <c r="EE13" s="3"/>
      <c r="EF13" s="3"/>
      <c r="EG13" s="36"/>
      <c r="EH13" s="4"/>
      <c r="EI13" s="6"/>
      <c r="EJ13" s="6"/>
      <c r="EK13" s="33" t="str">
        <f t="shared" si="37"/>
        <v/>
      </c>
      <c r="EL13" s="42"/>
      <c r="EM13" s="3"/>
      <c r="EN13" s="37" t="str">
        <f t="shared" si="38"/>
        <v/>
      </c>
      <c r="EO13" s="3"/>
      <c r="EP13" s="3"/>
      <c r="EQ13" s="36"/>
      <c r="ER13" s="4"/>
      <c r="ES13" s="6"/>
      <c r="ET13" s="6"/>
      <c r="EU13" s="33" t="str">
        <f t="shared" si="39"/>
        <v/>
      </c>
      <c r="EV13" s="42"/>
      <c r="EW13" s="3"/>
      <c r="EX13" s="37" t="str">
        <f t="shared" si="40"/>
        <v/>
      </c>
      <c r="EY13" s="3"/>
      <c r="EZ13" s="3"/>
      <c r="FA13" s="36"/>
      <c r="FB13" s="4"/>
      <c r="FC13" s="6"/>
      <c r="FD13" s="6"/>
      <c r="FE13" s="33" t="str">
        <f t="shared" si="41"/>
        <v/>
      </c>
      <c r="FF13" s="42"/>
      <c r="FG13" s="3"/>
      <c r="FH13" s="37" t="str">
        <f t="shared" si="42"/>
        <v/>
      </c>
      <c r="FI13" s="3"/>
      <c r="FJ13" s="3"/>
      <c r="FM13" s="54">
        <f t="shared" si="45"/>
        <v>6.6390000000000002</v>
      </c>
      <c r="FN13" s="54">
        <f t="shared" si="45"/>
        <v>9</v>
      </c>
      <c r="FO13" s="471">
        <f t="shared" si="43"/>
        <v>103.19999999999999</v>
      </c>
      <c r="FP13" s="471">
        <f t="shared" si="43"/>
        <v>141.5</v>
      </c>
      <c r="FR13">
        <f t="shared" si="18"/>
        <v>1.3556258472661544</v>
      </c>
    </row>
    <row r="14" spans="2:174" ht="42" customHeight="1">
      <c r="B14" s="3" t="s">
        <v>503</v>
      </c>
      <c r="C14" s="3" t="s">
        <v>223</v>
      </c>
      <c r="D14" s="4" t="s">
        <v>313</v>
      </c>
      <c r="E14" s="4">
        <v>7</v>
      </c>
      <c r="F14" s="123" t="str">
        <f t="shared" si="1"/>
        <v>×
[P・Q]
×・×</v>
      </c>
      <c r="G14" s="123" t="str">
        <f t="shared" si="2"/>
        <v>×
[P・Q]
○・×</v>
      </c>
      <c r="H14" s="123" t="str">
        <f t="shared" ref="H14:H31" si="46">IF($E14&lt;H$9,"",IF(AND(BS14&gt;0.6,BV14&lt;=8,BW14=BX14),"○","×")&amp;CHAR(10)&amp;"[P・Q]"&amp;CHAR(10)&amp;IF(BS14="","--",IF(BS14&gt;0.6,"○","×"))&amp;IF(BV14="","・--",IF(BV14&lt;=8,"・○","・×")))</f>
        <v>○
[P・Q]
○・○</v>
      </c>
      <c r="I14" s="123" t="str">
        <f>IF($E14&lt;I$9,"",IF(AND(CC14&gt;0.6,CF14&lt;=8,CG14=CH14),"○","×")&amp;CHAR(10)&amp;"[P・Q]"&amp;CHAR(10)&amp;IF(CC14="","--",IF(CC14&gt;0.6,"○","×"))&amp;IF(CF14="","・--",IF(CF14&lt;=8,"・○","・×")))</f>
        <v>○
[P・Q]
○・○</v>
      </c>
      <c r="J14" s="123" t="str">
        <f t="shared" si="3"/>
        <v>×
[P・Q]
×・×</v>
      </c>
      <c r="K14" s="123" t="str">
        <f t="shared" si="4"/>
        <v>○
[P・Q]
○・○</v>
      </c>
      <c r="L14" s="123" t="str">
        <f t="shared" si="5"/>
        <v>×
[P・Q]
○・×</v>
      </c>
      <c r="M14" s="123" t="str">
        <f t="shared" si="6"/>
        <v/>
      </c>
      <c r="N14" s="123" t="str">
        <f t="shared" si="7"/>
        <v/>
      </c>
      <c r="O14" s="123" t="str">
        <f t="shared" si="8"/>
        <v/>
      </c>
      <c r="P14" s="123" t="str">
        <f t="shared" si="9"/>
        <v/>
      </c>
      <c r="Q14" s="123" t="str">
        <f t="shared" si="10"/>
        <v/>
      </c>
      <c r="R14" s="76">
        <f t="shared" si="11"/>
        <v>1</v>
      </c>
      <c r="S14" s="4">
        <v>5</v>
      </c>
      <c r="T14" s="4">
        <v>5</v>
      </c>
      <c r="U14" s="4">
        <v>5</v>
      </c>
      <c r="V14" s="4">
        <v>5</v>
      </c>
      <c r="W14" s="77">
        <f t="shared" si="12"/>
        <v>26.785714285714285</v>
      </c>
      <c r="X14" s="77">
        <f t="shared" si="13"/>
        <v>16.071428571428569</v>
      </c>
      <c r="Y14" s="77" cm="1">
        <f t="array" ref="Y14">_xlfn.IFS(R14&gt;=0.8,5,R14&gt;=0.6,3,R14&gt;=0.2,1,R14&lt;0.2,0)</f>
        <v>5</v>
      </c>
      <c r="Z14" s="140">
        <f t="shared" si="44"/>
        <v>67.857142857142861</v>
      </c>
      <c r="AA14" s="228" t="s">
        <v>504</v>
      </c>
      <c r="AB14" s="142" t="s">
        <v>490</v>
      </c>
      <c r="AC14" s="52" t="s">
        <v>226</v>
      </c>
      <c r="AD14" s="130" t="s">
        <v>505</v>
      </c>
      <c r="AE14" s="5"/>
      <c r="AF14" s="5" t="s">
        <v>506</v>
      </c>
      <c r="AG14" s="129"/>
      <c r="AH14" s="207">
        <f t="shared" si="14"/>
        <v>0.74397217098897772</v>
      </c>
      <c r="AI14" s="42">
        <f t="shared" si="15"/>
        <v>8.8593869154140812</v>
      </c>
      <c r="AJ14" s="80" t="str">
        <f t="shared" si="16"/>
        <v>HIGH</v>
      </c>
      <c r="AK14" s="80" t="str">
        <f t="shared" si="17"/>
        <v>LOW</v>
      </c>
      <c r="AL14" s="216" t="s">
        <v>507</v>
      </c>
      <c r="AM14" s="217" t="s">
        <v>508</v>
      </c>
      <c r="AN14" s="126" t="str">
        <f>IF(AND(Z14&gt;Summary!$C$5, Z14&lt;=Summary!$D$5),Summary!$B$5,IF(AND(Z14&gt;Summary!$C$6, Z14&lt;=Summary!$D$6),Summary!$B$6,IF(AND(Z14&gt;Summary!$C$7, Z14&lt;=Summary!$D$7),Summary!$B$7,Summary!$B$8)))</f>
        <v>○</v>
      </c>
      <c r="AO14" s="14" t="s">
        <v>168</v>
      </c>
      <c r="AP14" s="14"/>
      <c r="AQ14" s="14"/>
      <c r="AR14" s="14" t="s">
        <v>168</v>
      </c>
      <c r="AS14" s="14"/>
      <c r="AT14" s="5" t="s">
        <v>245</v>
      </c>
      <c r="AU14" s="80" t="s">
        <v>509</v>
      </c>
      <c r="AV14" s="4" t="s">
        <v>168</v>
      </c>
      <c r="AW14" s="6">
        <v>15.4</v>
      </c>
      <c r="AX14" s="6">
        <v>30</v>
      </c>
      <c r="AY14" s="33">
        <f t="shared" si="19"/>
        <v>0.51333333333333331</v>
      </c>
      <c r="AZ14" s="42">
        <v>0.185</v>
      </c>
      <c r="BA14" s="3">
        <v>5</v>
      </c>
      <c r="BB14" s="37">
        <f t="shared" si="20"/>
        <v>27.027027027027028</v>
      </c>
      <c r="BC14" s="3">
        <v>5</v>
      </c>
      <c r="BD14" s="3">
        <v>5</v>
      </c>
      <c r="BE14" s="80" t="s">
        <v>510</v>
      </c>
      <c r="BF14" s="4" t="s">
        <v>168</v>
      </c>
      <c r="BG14" s="6">
        <v>15.4</v>
      </c>
      <c r="BH14" s="6">
        <v>18.5</v>
      </c>
      <c r="BI14" s="33">
        <f t="shared" si="21"/>
        <v>0.83243243243243248</v>
      </c>
      <c r="BJ14" s="42">
        <v>9.5000000000000001E-2</v>
      </c>
      <c r="BK14" s="3">
        <v>1</v>
      </c>
      <c r="BL14" s="37">
        <f t="shared" si="22"/>
        <v>10.526315789473685</v>
      </c>
      <c r="BM14" s="3">
        <v>1</v>
      </c>
      <c r="BN14" s="3">
        <v>1</v>
      </c>
      <c r="BO14" s="80" t="s">
        <v>511</v>
      </c>
      <c r="BP14" s="4" t="s">
        <v>168</v>
      </c>
      <c r="BQ14" s="6">
        <v>23.2</v>
      </c>
      <c r="BR14" s="6">
        <v>24</v>
      </c>
      <c r="BS14" s="33">
        <f t="shared" si="23"/>
        <v>0.96666666666666667</v>
      </c>
      <c r="BT14" s="42">
        <v>6.2069999999999999</v>
      </c>
      <c r="BU14" s="3">
        <v>0</v>
      </c>
      <c r="BV14" s="37">
        <f t="shared" si="24"/>
        <v>0</v>
      </c>
      <c r="BW14" s="3">
        <v>0</v>
      </c>
      <c r="BX14" s="3">
        <v>0</v>
      </c>
      <c r="BY14" s="80" t="s">
        <v>512</v>
      </c>
      <c r="BZ14" s="4" t="s">
        <v>168</v>
      </c>
      <c r="CA14" s="6">
        <v>18.2</v>
      </c>
      <c r="CB14" s="6">
        <v>24</v>
      </c>
      <c r="CC14" s="33">
        <f t="shared" si="25"/>
        <v>0.7583333333333333</v>
      </c>
      <c r="CD14" s="42">
        <v>3.5880000000000001</v>
      </c>
      <c r="CE14" s="3">
        <v>0</v>
      </c>
      <c r="CF14" s="37">
        <f t="shared" si="26"/>
        <v>0</v>
      </c>
      <c r="CG14" s="3">
        <v>0</v>
      </c>
      <c r="CH14" s="3">
        <v>0</v>
      </c>
      <c r="CI14" s="80" t="s">
        <v>513</v>
      </c>
      <c r="CJ14" s="4" t="s">
        <v>168</v>
      </c>
      <c r="CK14" s="6">
        <v>10.5</v>
      </c>
      <c r="CL14" s="6">
        <v>26</v>
      </c>
      <c r="CM14" s="33">
        <f t="shared" si="27"/>
        <v>0.40384615384615385</v>
      </c>
      <c r="CN14" s="42">
        <v>0.124</v>
      </c>
      <c r="CO14" s="3">
        <v>2</v>
      </c>
      <c r="CP14" s="37">
        <f t="shared" si="28"/>
        <v>16.129032258064516</v>
      </c>
      <c r="CQ14" s="3">
        <v>2</v>
      </c>
      <c r="CR14" s="3">
        <v>2</v>
      </c>
      <c r="CS14" s="80" t="s">
        <v>514</v>
      </c>
      <c r="CT14" s="4" t="s">
        <v>168</v>
      </c>
      <c r="CU14" s="6">
        <v>23</v>
      </c>
      <c r="CV14" s="6">
        <v>28</v>
      </c>
      <c r="CW14" s="33">
        <f t="shared" si="29"/>
        <v>0.8214285714285714</v>
      </c>
      <c r="CX14" s="42">
        <v>1.319</v>
      </c>
      <c r="CY14" s="3">
        <v>0</v>
      </c>
      <c r="CZ14" s="37">
        <f t="shared" si="30"/>
        <v>0</v>
      </c>
      <c r="DA14" s="3">
        <v>0</v>
      </c>
      <c r="DB14" s="3">
        <v>0</v>
      </c>
      <c r="DC14" s="80" t="s">
        <v>515</v>
      </c>
      <c r="DD14" s="4" t="s">
        <v>168</v>
      </c>
      <c r="DE14" s="6">
        <v>15.5</v>
      </c>
      <c r="DF14" s="6">
        <v>17</v>
      </c>
      <c r="DG14" s="33">
        <f t="shared" si="31"/>
        <v>0.91176470588235292</v>
      </c>
      <c r="DH14" s="42">
        <v>0.12</v>
      </c>
      <c r="DI14" s="3">
        <v>1</v>
      </c>
      <c r="DJ14" s="37">
        <f t="shared" si="32"/>
        <v>8.3333333333333339</v>
      </c>
      <c r="DK14" s="3">
        <v>1</v>
      </c>
      <c r="DL14" s="3">
        <v>1</v>
      </c>
      <c r="DM14" s="4" t="s">
        <v>461</v>
      </c>
      <c r="DN14" s="4"/>
      <c r="DO14" s="6"/>
      <c r="DP14" s="6"/>
      <c r="DQ14" s="33" t="str">
        <f t="shared" si="33"/>
        <v/>
      </c>
      <c r="DR14" s="42"/>
      <c r="DS14" s="3"/>
      <c r="DT14" s="37" t="str">
        <f t="shared" si="34"/>
        <v/>
      </c>
      <c r="DU14" s="3"/>
      <c r="DV14" s="3"/>
      <c r="DW14" s="4"/>
      <c r="DX14" s="4"/>
      <c r="DY14" s="6"/>
      <c r="DZ14" s="6"/>
      <c r="EA14" s="33" t="str">
        <f t="shared" si="35"/>
        <v/>
      </c>
      <c r="EB14" s="42"/>
      <c r="EC14" s="3"/>
      <c r="ED14" s="37" t="str">
        <f t="shared" si="36"/>
        <v/>
      </c>
      <c r="EE14" s="3"/>
      <c r="EF14" s="3"/>
      <c r="EG14" s="4"/>
      <c r="EH14" s="4"/>
      <c r="EI14" s="6"/>
      <c r="EJ14" s="6"/>
      <c r="EK14" s="33" t="str">
        <f t="shared" si="37"/>
        <v/>
      </c>
      <c r="EL14" s="42"/>
      <c r="EM14" s="3"/>
      <c r="EN14" s="37" t="str">
        <f t="shared" si="38"/>
        <v/>
      </c>
      <c r="EO14" s="3"/>
      <c r="EP14" s="3"/>
      <c r="EQ14" s="4"/>
      <c r="ER14" s="4"/>
      <c r="ES14" s="6"/>
      <c r="ET14" s="6"/>
      <c r="EU14" s="33" t="str">
        <f t="shared" si="39"/>
        <v/>
      </c>
      <c r="EV14" s="42"/>
      <c r="EW14" s="3"/>
      <c r="EX14" s="37" t="str">
        <f t="shared" si="40"/>
        <v/>
      </c>
      <c r="EY14" s="3"/>
      <c r="EZ14" s="3"/>
      <c r="FA14" s="4"/>
      <c r="FB14" s="4"/>
      <c r="FC14" s="6"/>
      <c r="FD14" s="6"/>
      <c r="FE14" s="33" t="str">
        <f t="shared" si="41"/>
        <v/>
      </c>
      <c r="FF14" s="42"/>
      <c r="FG14" s="3"/>
      <c r="FH14" s="37" t="str">
        <f t="shared" si="42"/>
        <v/>
      </c>
      <c r="FI14" s="3"/>
      <c r="FJ14" s="3"/>
      <c r="FM14" s="54">
        <f t="shared" si="45"/>
        <v>11.638000000000002</v>
      </c>
      <c r="FN14" s="54">
        <f t="shared" si="45"/>
        <v>9</v>
      </c>
      <c r="FO14" s="471">
        <f t="shared" si="43"/>
        <v>121.20000000000002</v>
      </c>
      <c r="FP14" s="471">
        <f t="shared" si="43"/>
        <v>167.5</v>
      </c>
      <c r="FR14">
        <f t="shared" si="18"/>
        <v>0.77332875064444051</v>
      </c>
    </row>
    <row r="15" spans="2:174" ht="57.75" customHeight="1">
      <c r="B15" s="3" t="s">
        <v>516</v>
      </c>
      <c r="C15" s="3" t="s">
        <v>300</v>
      </c>
      <c r="D15" s="4" t="s">
        <v>224</v>
      </c>
      <c r="E15" s="4">
        <v>5</v>
      </c>
      <c r="F15" s="123" t="str">
        <f t="shared" si="1"/>
        <v>×
[P・Q]
○・×</v>
      </c>
      <c r="G15" s="123" t="str">
        <f t="shared" si="2"/>
        <v>×
[P・Q]
×・○</v>
      </c>
      <c r="H15" s="123" t="str">
        <f t="shared" si="46"/>
        <v>○
[P・Q]
○・○</v>
      </c>
      <c r="I15" s="123" t="str">
        <f>IF($E15&lt;I$9,"",IF(AND(CC15&gt;0.6,CF15&lt;=8,CG15=CH15),"○","×")&amp;CHAR(10)&amp;"[P・Q]"&amp;CHAR(10)&amp;IF(CC15="","--",IF(CC15&gt;0.6,"○","×"))&amp;IF(CF15="","・--",IF(CF15&lt;=8,"・○","・×")))</f>
        <v>○
[P・Q]
○・○</v>
      </c>
      <c r="J15" s="123" t="str">
        <f t="shared" si="3"/>
        <v>○
[P・Q]
○・○</v>
      </c>
      <c r="K15" s="123" t="str">
        <f t="shared" si="4"/>
        <v/>
      </c>
      <c r="L15" s="123" t="str">
        <f t="shared" si="5"/>
        <v/>
      </c>
      <c r="M15" s="123" t="str">
        <f t="shared" si="6"/>
        <v/>
      </c>
      <c r="N15" s="123" t="str">
        <f t="shared" si="7"/>
        <v/>
      </c>
      <c r="O15" s="123" t="str">
        <f t="shared" si="8"/>
        <v/>
      </c>
      <c r="P15" s="123" t="str">
        <f t="shared" si="9"/>
        <v/>
      </c>
      <c r="Q15" s="123" t="str">
        <f t="shared" si="10"/>
        <v/>
      </c>
      <c r="R15" s="76">
        <f t="shared" si="11"/>
        <v>1</v>
      </c>
      <c r="S15" s="4">
        <v>5</v>
      </c>
      <c r="T15" s="4">
        <v>5</v>
      </c>
      <c r="U15" s="4">
        <v>5</v>
      </c>
      <c r="V15" s="4">
        <v>5</v>
      </c>
      <c r="W15" s="77">
        <f t="shared" si="12"/>
        <v>30</v>
      </c>
      <c r="X15" s="77">
        <f t="shared" si="13"/>
        <v>30</v>
      </c>
      <c r="Y15" s="77" cm="1">
        <f t="array" ref="Y15">_xlfn.IFS(R15&gt;=0.8,5,R15&gt;=0.6,3,R15&gt;=0.2,1,R15&lt;0.2,0)</f>
        <v>5</v>
      </c>
      <c r="Z15" s="140">
        <f t="shared" si="44"/>
        <v>85</v>
      </c>
      <c r="AA15" s="144" t="s">
        <v>517</v>
      </c>
      <c r="AB15" s="142" t="s">
        <v>518</v>
      </c>
      <c r="AC15" s="80" t="s">
        <v>226</v>
      </c>
      <c r="AD15" s="5" t="s">
        <v>519</v>
      </c>
      <c r="AE15" s="14" t="s">
        <v>174</v>
      </c>
      <c r="AF15" s="203" t="s">
        <v>520</v>
      </c>
      <c r="AG15" s="3"/>
      <c r="AH15" s="207">
        <f t="shared" si="14"/>
        <v>0.7249028226483063</v>
      </c>
      <c r="AI15" s="42">
        <f t="shared" si="15"/>
        <v>3.2115303871668637</v>
      </c>
      <c r="AJ15" s="80" t="str">
        <f t="shared" si="16"/>
        <v>HIGH</v>
      </c>
      <c r="AK15" s="80" t="str">
        <f t="shared" si="17"/>
        <v>HIGH</v>
      </c>
      <c r="AL15" s="87"/>
      <c r="AM15" s="87"/>
      <c r="AN15" s="126" t="str">
        <f>IF(AND(Z15&gt;Summary!$C$5, Z15&lt;=Summary!$D$5),Summary!$B$5,IF(AND(Z15&gt;Summary!$C$6, Z15&lt;=Summary!$D$6),Summary!$B$6,IF(AND(Z15&gt;Summary!$C$7, Z15&lt;=Summary!$D$7),Summary!$B$7,Summary!$B$8)))</f>
        <v>◎</v>
      </c>
      <c r="AO15" s="14" t="s">
        <v>168</v>
      </c>
      <c r="AP15" s="14"/>
      <c r="AQ15" s="14" t="s">
        <v>168</v>
      </c>
      <c r="AR15" s="14"/>
      <c r="AS15" s="14"/>
      <c r="AT15" s="5" t="s">
        <v>231</v>
      </c>
      <c r="AU15" s="104" t="s">
        <v>521</v>
      </c>
      <c r="AV15" s="4" t="s">
        <v>168</v>
      </c>
      <c r="AW15" s="103">
        <v>22.8</v>
      </c>
      <c r="AX15" s="103">
        <v>35</v>
      </c>
      <c r="AY15" s="33">
        <f t="shared" si="19"/>
        <v>0.65142857142857147</v>
      </c>
      <c r="AZ15" s="42">
        <v>0.61799999999999999</v>
      </c>
      <c r="BA15" s="3">
        <v>8</v>
      </c>
      <c r="BB15" s="37">
        <f t="shared" si="20"/>
        <v>12.944983818770227</v>
      </c>
      <c r="BC15" s="3">
        <v>8</v>
      </c>
      <c r="BD15" s="3">
        <v>8</v>
      </c>
      <c r="BE15" s="80" t="s">
        <v>522</v>
      </c>
      <c r="BF15" s="4" t="s">
        <v>168</v>
      </c>
      <c r="BG15" s="6">
        <v>22.7</v>
      </c>
      <c r="BH15" s="6">
        <v>47</v>
      </c>
      <c r="BI15" s="33">
        <f t="shared" si="21"/>
        <v>0.48297872340425529</v>
      </c>
      <c r="BJ15" s="42">
        <v>5.5739999999999998</v>
      </c>
      <c r="BK15" s="3">
        <v>0</v>
      </c>
      <c r="BL15" s="37">
        <f>IF(BK15="","",BK15/BJ15)</f>
        <v>0</v>
      </c>
      <c r="BM15" s="3">
        <v>0</v>
      </c>
      <c r="BN15" s="3">
        <v>0</v>
      </c>
      <c r="BO15" s="80" t="s">
        <v>523</v>
      </c>
      <c r="BP15" s="4" t="s">
        <v>168</v>
      </c>
      <c r="BQ15" s="6">
        <v>19.3</v>
      </c>
      <c r="BR15" s="6">
        <v>27</v>
      </c>
      <c r="BS15" s="33">
        <f t="shared" si="23"/>
        <v>0.71481481481481479</v>
      </c>
      <c r="BT15" s="42">
        <v>3.5649999999999999</v>
      </c>
      <c r="BU15" s="3">
        <v>3</v>
      </c>
      <c r="BV15" s="37">
        <f t="shared" si="24"/>
        <v>0.84151472650771386</v>
      </c>
      <c r="BW15" s="3">
        <v>3</v>
      </c>
      <c r="BX15" s="3">
        <v>3</v>
      </c>
      <c r="BY15" s="80" t="s">
        <v>524</v>
      </c>
      <c r="BZ15" s="4" t="s">
        <v>168</v>
      </c>
      <c r="CA15" s="6">
        <v>22.7</v>
      </c>
      <c r="CB15" s="6">
        <v>21</v>
      </c>
      <c r="CC15" s="33">
        <f t="shared" si="25"/>
        <v>1.0809523809523809</v>
      </c>
      <c r="CD15" s="42">
        <v>0.504</v>
      </c>
      <c r="CE15" s="3">
        <v>1</v>
      </c>
      <c r="CF15" s="37">
        <f t="shared" si="26"/>
        <v>1.9841269841269842</v>
      </c>
      <c r="CG15" s="3">
        <v>1</v>
      </c>
      <c r="CH15" s="3">
        <v>1</v>
      </c>
      <c r="CI15" s="80" t="s">
        <v>525</v>
      </c>
      <c r="CJ15" s="4" t="s">
        <v>168</v>
      </c>
      <c r="CK15" s="6">
        <v>18.399999999999999</v>
      </c>
      <c r="CL15" s="6">
        <v>26.5</v>
      </c>
      <c r="CM15" s="33">
        <f t="shared" si="27"/>
        <v>0.69433962264150939</v>
      </c>
      <c r="CN15" s="42">
        <v>3.484</v>
      </c>
      <c r="CO15" s="3">
        <v>1</v>
      </c>
      <c r="CP15" s="37">
        <f t="shared" si="28"/>
        <v>0.28702640642939148</v>
      </c>
      <c r="CQ15" s="3">
        <v>1</v>
      </c>
      <c r="CR15" s="3">
        <v>1</v>
      </c>
      <c r="CS15" s="4" t="s">
        <v>461</v>
      </c>
      <c r="CT15" s="4"/>
      <c r="CU15" s="6"/>
      <c r="CV15" s="6"/>
      <c r="CW15" s="33" t="str">
        <f t="shared" si="29"/>
        <v/>
      </c>
      <c r="CX15" s="42"/>
      <c r="CY15" s="3"/>
      <c r="CZ15" s="37" t="str">
        <f t="shared" si="30"/>
        <v/>
      </c>
      <c r="DA15" s="3"/>
      <c r="DB15" s="3"/>
      <c r="DC15" s="4" t="s">
        <v>461</v>
      </c>
      <c r="DD15" s="4"/>
      <c r="DE15" s="6"/>
      <c r="DF15" s="6"/>
      <c r="DG15" s="33" t="str">
        <f t="shared" si="31"/>
        <v/>
      </c>
      <c r="DH15" s="42"/>
      <c r="DI15" s="3"/>
      <c r="DJ15" s="37" t="str">
        <f t="shared" si="32"/>
        <v/>
      </c>
      <c r="DK15" s="3"/>
      <c r="DL15" s="3"/>
      <c r="DM15" s="4" t="s">
        <v>461</v>
      </c>
      <c r="DN15" s="4"/>
      <c r="DO15" s="6"/>
      <c r="DP15" s="6"/>
      <c r="DQ15" s="33" t="str">
        <f t="shared" si="33"/>
        <v/>
      </c>
      <c r="DR15" s="42"/>
      <c r="DS15" s="3"/>
      <c r="DT15" s="37" t="str">
        <f t="shared" si="34"/>
        <v/>
      </c>
      <c r="DU15" s="3"/>
      <c r="DV15" s="3"/>
      <c r="DW15" s="4"/>
      <c r="DX15" s="4"/>
      <c r="DY15" s="6"/>
      <c r="DZ15" s="6"/>
      <c r="EA15" s="33" t="str">
        <f t="shared" si="35"/>
        <v/>
      </c>
      <c r="EB15" s="42"/>
      <c r="EC15" s="3"/>
      <c r="ED15" s="37" t="str">
        <f t="shared" si="36"/>
        <v/>
      </c>
      <c r="EE15" s="3"/>
      <c r="EF15" s="3"/>
      <c r="EG15" s="4"/>
      <c r="EH15" s="4"/>
      <c r="EI15" s="6"/>
      <c r="EJ15" s="6"/>
      <c r="EK15" s="33" t="str">
        <f t="shared" si="37"/>
        <v/>
      </c>
      <c r="EL15" s="42"/>
      <c r="EM15" s="3"/>
      <c r="EN15" s="37" t="str">
        <f t="shared" si="38"/>
        <v/>
      </c>
      <c r="EO15" s="3"/>
      <c r="EP15" s="3"/>
      <c r="EQ15" s="4"/>
      <c r="ER15" s="4"/>
      <c r="ES15" s="6"/>
      <c r="ET15" s="6"/>
      <c r="EU15" s="33" t="str">
        <f t="shared" si="39"/>
        <v/>
      </c>
      <c r="EV15" s="42"/>
      <c r="EW15" s="3"/>
      <c r="EX15" s="37" t="str">
        <f t="shared" si="40"/>
        <v/>
      </c>
      <c r="EY15" s="3"/>
      <c r="EZ15" s="3"/>
      <c r="FA15" s="4"/>
      <c r="FB15" s="4"/>
      <c r="FC15" s="6"/>
      <c r="FD15" s="6"/>
      <c r="FE15" s="33" t="str">
        <f t="shared" si="41"/>
        <v/>
      </c>
      <c r="FF15" s="42"/>
      <c r="FG15" s="3"/>
      <c r="FH15" s="37" t="str">
        <f t="shared" si="42"/>
        <v/>
      </c>
      <c r="FI15" s="3"/>
      <c r="FJ15" s="3"/>
      <c r="FM15" s="54">
        <f t="shared" si="45"/>
        <v>13.744999999999999</v>
      </c>
      <c r="FN15" s="54">
        <f t="shared" si="45"/>
        <v>13</v>
      </c>
      <c r="FO15" s="471">
        <f t="shared" si="43"/>
        <v>105.89999999999999</v>
      </c>
      <c r="FP15" s="471">
        <f t="shared" si="43"/>
        <v>156.5</v>
      </c>
      <c r="FR15">
        <f t="shared" si="18"/>
        <v>0.94579847217169888</v>
      </c>
    </row>
    <row r="16" spans="2:174" ht="277.5" customHeight="1">
      <c r="B16" s="27" t="s">
        <v>526</v>
      </c>
      <c r="C16" s="27" t="s">
        <v>223</v>
      </c>
      <c r="D16" s="28" t="s">
        <v>313</v>
      </c>
      <c r="E16" s="4">
        <v>7</v>
      </c>
      <c r="F16" s="123" t="str">
        <f t="shared" si="1"/>
        <v>×
[P・Q]
○・×</v>
      </c>
      <c r="G16" s="123" t="str">
        <f t="shared" si="2"/>
        <v>○
[P・Q]
○・○</v>
      </c>
      <c r="H16" s="123" t="str">
        <f t="shared" si="46"/>
        <v>×
[P・Q]
×・○</v>
      </c>
      <c r="I16" s="123" t="str">
        <f>IF($E16&lt;I$9,"",IF(AND(BT16&gt;0.6,BW16&lt;=8,BX16=BY16),"○","×")&amp;CHAR(10)&amp;"[P・Q]"&amp;CHAR(10)&amp;IF(BT16="","--",IF(BT16&gt;0.6,"○","×"))&amp;IF(BW16="","・--",IF(BW16&lt;=8,"・○","・×")))</f>
        <v>×
[P・Q]
×・○</v>
      </c>
      <c r="J16" s="123" t="str">
        <f>IF($E16&lt;J$9,"",IF(AND(BU16&gt;0.6,BX16&lt;=8,BY16=BZ16),"○","×")&amp;CHAR(10)&amp;"[P・Q]"&amp;CHAR(10)&amp;IF(BU16="","--",IF(BU16&gt;0.6,"○","×"))&amp;IF(BX16="","・--",IF(BX16&lt;=8,"・○","・×")))</f>
        <v>×
[P・Q]
×・○</v>
      </c>
      <c r="K16" s="123" t="str">
        <f t="shared" si="4"/>
        <v>○
[P・Q]
○・○</v>
      </c>
      <c r="L16" s="123" t="str">
        <f t="shared" si="5"/>
        <v>○
[P・Q]
○・○</v>
      </c>
      <c r="M16" s="123" t="str">
        <f t="shared" si="6"/>
        <v/>
      </c>
      <c r="N16" s="123" t="str">
        <f t="shared" si="7"/>
        <v/>
      </c>
      <c r="O16" s="123" t="str">
        <f t="shared" si="8"/>
        <v/>
      </c>
      <c r="P16" s="123" t="str">
        <f t="shared" si="9"/>
        <v/>
      </c>
      <c r="Q16" s="123" t="str">
        <f t="shared" si="10"/>
        <v/>
      </c>
      <c r="R16" s="76">
        <f t="shared" si="11"/>
        <v>1</v>
      </c>
      <c r="S16" s="4">
        <v>1</v>
      </c>
      <c r="T16" s="4">
        <v>5</v>
      </c>
      <c r="U16" s="4">
        <v>5</v>
      </c>
      <c r="V16" s="4">
        <v>5</v>
      </c>
      <c r="W16" s="77">
        <f t="shared" si="12"/>
        <v>32.142857142857139</v>
      </c>
      <c r="X16" s="77">
        <f t="shared" si="13"/>
        <v>32.142857142857139</v>
      </c>
      <c r="Y16" s="77" cm="1">
        <f t="array" ref="Y16">_xlfn.IFS(R16&gt;=0.8,5,R16&gt;=0.6,3,R16&gt;=0.2,1,R16&lt;0.2,0)</f>
        <v>5</v>
      </c>
      <c r="Z16" s="140">
        <f t="shared" si="44"/>
        <v>85.285714285714278</v>
      </c>
      <c r="AA16" s="228" t="s">
        <v>527</v>
      </c>
      <c r="AB16" s="321" t="s">
        <v>490</v>
      </c>
      <c r="AC16" s="338" t="s">
        <v>226</v>
      </c>
      <c r="AD16" s="5" t="s">
        <v>528</v>
      </c>
      <c r="AE16" s="142"/>
      <c r="AF16" s="5" t="s">
        <v>529</v>
      </c>
      <c r="AG16" s="309">
        <f>TaskEndDay!H28</f>
        <v>1</v>
      </c>
      <c r="AH16" s="207">
        <f>IFERROR(AVERAGE(AY16,BI16,BS16,CC16,CM16,CW16,DG16,DQ16,EA16,EK16)," ")</f>
        <v>0.77614911130180642</v>
      </c>
      <c r="AI16" s="42">
        <f>IFERROR(AVERAGE(BB16,BL16,BV16,CF16,CP16,CZ16,DJ16,DT16,ED16,EN16)," ")</f>
        <v>6.3735465384500207</v>
      </c>
      <c r="AJ16" s="80" t="str">
        <f>IFERROR(IF(AH16&gt;=0.6,"HIGH","LOW"),"")</f>
        <v>HIGH</v>
      </c>
      <c r="AK16" s="191" t="str">
        <f t="shared" si="17"/>
        <v>HIGH</v>
      </c>
      <c r="AL16" s="29" t="s">
        <v>530</v>
      </c>
      <c r="AM16" s="5" t="s">
        <v>531</v>
      </c>
      <c r="AN16" s="128" t="str">
        <f>IF(AND(Z16&gt;Summary!$C$5, Z16&lt;=Summary!$D$5),Summary!$B$5,IF(AND(Z16&gt;Summary!$C$6, Z16&lt;=Summary!$D$6),Summary!$B$6,IF(AND(Z16&gt;Summary!$C$7, Z16&lt;=Summary!$D$7),Summary!$B$7,Summary!$B$8)))</f>
        <v>◎</v>
      </c>
      <c r="AO16" s="14" t="s">
        <v>168</v>
      </c>
      <c r="AP16" s="14"/>
      <c r="AQ16" s="126"/>
      <c r="AR16" s="126"/>
      <c r="AS16" s="126" t="s">
        <v>168</v>
      </c>
      <c r="AT16" s="5" t="s">
        <v>456</v>
      </c>
      <c r="AU16" s="80" t="s">
        <v>532</v>
      </c>
      <c r="AV16" s="4" t="s">
        <v>168</v>
      </c>
      <c r="AW16" s="103">
        <v>15.5</v>
      </c>
      <c r="AX16" s="103">
        <v>18</v>
      </c>
      <c r="AY16" s="33">
        <f t="shared" si="19"/>
        <v>0.86111111111111116</v>
      </c>
      <c r="AZ16" s="42">
        <v>0.10299999999999999</v>
      </c>
      <c r="BA16" s="3">
        <v>3</v>
      </c>
      <c r="BB16" s="37">
        <f t="shared" si="20"/>
        <v>29.126213592233011</v>
      </c>
      <c r="BC16" s="3">
        <v>3</v>
      </c>
      <c r="BD16" s="3">
        <v>3</v>
      </c>
      <c r="BE16" s="80" t="s">
        <v>533</v>
      </c>
      <c r="BF16" s="4" t="s">
        <v>168</v>
      </c>
      <c r="BG16" s="6">
        <v>22.8</v>
      </c>
      <c r="BH16" s="6">
        <v>19.5</v>
      </c>
      <c r="BI16" s="33">
        <f t="shared" si="21"/>
        <v>1.1692307692307693</v>
      </c>
      <c r="BJ16" s="42">
        <v>1.1279999999999999</v>
      </c>
      <c r="BK16" s="3">
        <v>3</v>
      </c>
      <c r="BL16" s="37">
        <f t="shared" si="22"/>
        <v>2.6595744680851068</v>
      </c>
      <c r="BM16" s="3">
        <v>3</v>
      </c>
      <c r="BN16" s="3">
        <v>3</v>
      </c>
      <c r="BO16" s="80" t="s">
        <v>534</v>
      </c>
      <c r="BP16" s="4" t="s">
        <v>168</v>
      </c>
      <c r="BQ16" s="6">
        <v>10.9</v>
      </c>
      <c r="BR16" s="6">
        <v>19.5</v>
      </c>
      <c r="BS16" s="33">
        <f t="shared" si="23"/>
        <v>0.55897435897435899</v>
      </c>
      <c r="BT16" s="42">
        <v>0.58699999999999997</v>
      </c>
      <c r="BU16" s="3">
        <v>0</v>
      </c>
      <c r="BV16" s="37">
        <f t="shared" si="24"/>
        <v>0</v>
      </c>
      <c r="BW16" s="3">
        <v>0</v>
      </c>
      <c r="BX16" s="3">
        <v>0</v>
      </c>
      <c r="BY16" s="80" t="s">
        <v>535</v>
      </c>
      <c r="BZ16" s="4" t="s">
        <v>168</v>
      </c>
      <c r="CA16" s="6">
        <v>22.8</v>
      </c>
      <c r="CB16" s="6">
        <v>31.5</v>
      </c>
      <c r="CC16" s="33">
        <f t="shared" si="25"/>
        <v>0.72380952380952379</v>
      </c>
      <c r="CD16" s="42">
        <v>2.641</v>
      </c>
      <c r="CE16" s="3">
        <v>7</v>
      </c>
      <c r="CF16" s="37">
        <f t="shared" si="26"/>
        <v>2.6505111700113595</v>
      </c>
      <c r="CG16" s="3">
        <v>7</v>
      </c>
      <c r="CH16" s="3">
        <v>7</v>
      </c>
      <c r="CI16" s="80" t="s">
        <v>536</v>
      </c>
      <c r="CJ16" s="4" t="s">
        <v>168</v>
      </c>
      <c r="CK16" s="6">
        <v>18.5</v>
      </c>
      <c r="CL16" s="6">
        <v>20.5</v>
      </c>
      <c r="CM16" s="33">
        <f t="shared" si="27"/>
        <v>0.90243902439024393</v>
      </c>
      <c r="CN16" s="42">
        <v>2.2949999999999999</v>
      </c>
      <c r="CO16" s="3">
        <v>3</v>
      </c>
      <c r="CP16" s="37">
        <f t="shared" si="28"/>
        <v>1.3071895424836601</v>
      </c>
      <c r="CQ16" s="3">
        <v>3</v>
      </c>
      <c r="CR16" s="3">
        <v>3</v>
      </c>
      <c r="CS16" s="80" t="s">
        <v>537</v>
      </c>
      <c r="CT16" s="4" t="s">
        <v>168</v>
      </c>
      <c r="CU16" s="6">
        <v>10.6</v>
      </c>
      <c r="CV16" s="6">
        <v>17.5</v>
      </c>
      <c r="CW16" s="33">
        <f t="shared" si="29"/>
        <v>0.60571428571428565</v>
      </c>
      <c r="CX16" s="42">
        <v>0.192</v>
      </c>
      <c r="CY16" s="3">
        <v>1</v>
      </c>
      <c r="CZ16" s="37">
        <f t="shared" si="30"/>
        <v>5.208333333333333</v>
      </c>
      <c r="DA16" s="3">
        <v>1</v>
      </c>
      <c r="DB16" s="3">
        <v>1</v>
      </c>
      <c r="DC16" s="80" t="s">
        <v>538</v>
      </c>
      <c r="DD16" s="4" t="s">
        <v>168</v>
      </c>
      <c r="DE16" s="6">
        <v>15.6</v>
      </c>
      <c r="DF16" s="6">
        <v>25.5</v>
      </c>
      <c r="DG16" s="33">
        <f t="shared" si="31"/>
        <v>0.61176470588235288</v>
      </c>
      <c r="DH16" s="42">
        <v>0.27300000000000002</v>
      </c>
      <c r="DI16" s="3">
        <v>1</v>
      </c>
      <c r="DJ16" s="37">
        <f t="shared" si="32"/>
        <v>3.6630036630036629</v>
      </c>
      <c r="DK16" s="3">
        <v>1</v>
      </c>
      <c r="DL16" s="3">
        <v>1</v>
      </c>
      <c r="DM16" s="4" t="s">
        <v>461</v>
      </c>
      <c r="DN16" s="4"/>
      <c r="DO16" s="6"/>
      <c r="DP16" s="6"/>
      <c r="DQ16" s="33" t="str">
        <f t="shared" si="33"/>
        <v/>
      </c>
      <c r="DR16" s="42"/>
      <c r="DS16" s="3"/>
      <c r="DT16" s="37" t="str">
        <f t="shared" si="34"/>
        <v/>
      </c>
      <c r="DU16" s="3"/>
      <c r="DV16" s="3"/>
      <c r="DW16" s="4"/>
      <c r="DX16" s="4"/>
      <c r="DY16" s="6"/>
      <c r="DZ16" s="6"/>
      <c r="EA16" s="33" t="str">
        <f t="shared" si="35"/>
        <v/>
      </c>
      <c r="EB16" s="42"/>
      <c r="EC16" s="3"/>
      <c r="ED16" s="37" t="str">
        <f t="shared" si="36"/>
        <v/>
      </c>
      <c r="EE16" s="3"/>
      <c r="EF16" s="3"/>
      <c r="EG16" s="4"/>
      <c r="EH16" s="4"/>
      <c r="EI16" s="6"/>
      <c r="EJ16" s="6"/>
      <c r="EK16" s="33" t="str">
        <f t="shared" si="37"/>
        <v/>
      </c>
      <c r="EL16" s="42"/>
      <c r="EM16" s="3"/>
      <c r="EN16" s="37" t="str">
        <f t="shared" si="38"/>
        <v/>
      </c>
      <c r="EO16" s="3"/>
      <c r="EP16" s="3"/>
      <c r="EQ16" s="4"/>
      <c r="ER16" s="4"/>
      <c r="ES16" s="6"/>
      <c r="ET16" s="6"/>
      <c r="EU16" s="33" t="str">
        <f t="shared" si="39"/>
        <v/>
      </c>
      <c r="EV16" s="42"/>
      <c r="EW16" s="3"/>
      <c r="EX16" s="37" t="str">
        <f t="shared" si="40"/>
        <v/>
      </c>
      <c r="EY16" s="3"/>
      <c r="EZ16" s="3"/>
      <c r="FA16" s="4"/>
      <c r="FB16" s="4"/>
      <c r="FC16" s="6"/>
      <c r="FD16" s="6"/>
      <c r="FE16" s="33" t="str">
        <f t="shared" si="41"/>
        <v/>
      </c>
      <c r="FF16" s="42"/>
      <c r="FG16" s="3"/>
      <c r="FH16" s="37" t="str">
        <f t="shared" si="42"/>
        <v/>
      </c>
      <c r="FI16" s="3"/>
      <c r="FJ16" s="3"/>
      <c r="FM16" s="54">
        <f t="shared" si="45"/>
        <v>7.2189999999999994</v>
      </c>
      <c r="FN16" s="54">
        <f t="shared" si="45"/>
        <v>18</v>
      </c>
      <c r="FO16" s="471">
        <f t="shared" si="43"/>
        <v>116.7</v>
      </c>
      <c r="FP16" s="471">
        <f t="shared" si="43"/>
        <v>152</v>
      </c>
      <c r="FR16">
        <f t="shared" si="18"/>
        <v>2.4934201412938082</v>
      </c>
    </row>
    <row r="17" spans="2:174" ht="42" customHeight="1">
      <c r="B17" s="3" t="s">
        <v>539</v>
      </c>
      <c r="C17" s="3" t="s">
        <v>223</v>
      </c>
      <c r="D17" s="4" t="s">
        <v>224</v>
      </c>
      <c r="E17" s="4">
        <v>7</v>
      </c>
      <c r="F17" s="123" t="str">
        <f t="shared" si="1"/>
        <v>×
[P・Q]
×・○</v>
      </c>
      <c r="G17" s="123" t="str">
        <f t="shared" si="2"/>
        <v>○
[P・Q]
○・○</v>
      </c>
      <c r="H17" s="123" t="str">
        <f t="shared" si="46"/>
        <v>×
[P・Q]
×・○</v>
      </c>
      <c r="I17" s="123" t="str">
        <f t="shared" ref="I17:I31" si="47">IF($E17&lt;I$9,"",IF(AND(CC17&gt;0.6,CF17&lt;=8,CG17=CH17),"○","×")&amp;CHAR(10)&amp;"[P・Q]"&amp;CHAR(10)&amp;IF(CC17="","--",IF(CC17&gt;0.6,"○","×"))&amp;IF(CF17="","・--",IF(CF17&lt;=8,"・○","・×")))</f>
        <v>○
[P・Q]
○・○</v>
      </c>
      <c r="J17" s="123" t="str">
        <f t="shared" ref="J17:J31" si="48">IF($E17&lt;J$9,"",IF(AND(CM17&gt;0.6,CP17&lt;=8,CQ17=CR17),"○","×")&amp;CHAR(10)&amp;"[P・Q]"&amp;CHAR(10)&amp;IF(CM17="","--",IF(CM17&gt;0.6,"○","×"))&amp;IF(CP17="","・--",IF(CP17&lt;=8,"・○","・×")))</f>
        <v>○
[P・Q]
○・○</v>
      </c>
      <c r="K17" s="123" t="str">
        <f t="shared" si="4"/>
        <v>○
[P・Q]
○・○</v>
      </c>
      <c r="L17" s="123" t="str">
        <f t="shared" si="5"/>
        <v>○
[P・Q]
○・○</v>
      </c>
      <c r="M17" s="123" t="str">
        <f t="shared" si="6"/>
        <v/>
      </c>
      <c r="N17" s="123" t="str">
        <f t="shared" si="7"/>
        <v/>
      </c>
      <c r="O17" s="123" t="str">
        <f t="shared" si="8"/>
        <v/>
      </c>
      <c r="P17" s="123" t="str">
        <f t="shared" si="9"/>
        <v/>
      </c>
      <c r="Q17" s="123" t="str">
        <f t="shared" si="10"/>
        <v/>
      </c>
      <c r="R17" s="76">
        <f t="shared" si="11"/>
        <v>1</v>
      </c>
      <c r="S17" s="4">
        <v>3</v>
      </c>
      <c r="T17" s="4">
        <v>5</v>
      </c>
      <c r="U17" s="4">
        <v>5</v>
      </c>
      <c r="V17" s="4">
        <v>5</v>
      </c>
      <c r="W17" s="77">
        <f t="shared" si="12"/>
        <v>26.785714285714285</v>
      </c>
      <c r="X17" s="77">
        <f t="shared" si="13"/>
        <v>37.5</v>
      </c>
      <c r="Y17" s="77" cm="1">
        <f t="array" ref="Y17">_xlfn.IFS(R17&gt;=0.8,5,R17&gt;=0.6,3,R17&gt;=0.2,1,R17&lt;0.2,0)</f>
        <v>5</v>
      </c>
      <c r="Z17" s="140">
        <f t="shared" si="44"/>
        <v>87.285714285714278</v>
      </c>
      <c r="AA17" s="322" t="s">
        <v>540</v>
      </c>
      <c r="AB17" s="142" t="s">
        <v>541</v>
      </c>
      <c r="AC17" s="80" t="s">
        <v>251</v>
      </c>
      <c r="AD17" s="99" t="s">
        <v>542</v>
      </c>
      <c r="AE17" s="14" t="s">
        <v>174</v>
      </c>
      <c r="AF17" s="5" t="s">
        <v>543</v>
      </c>
      <c r="AG17" s="5"/>
      <c r="AH17" s="207">
        <f t="shared" si="14"/>
        <v>0.63376943646561357</v>
      </c>
      <c r="AI17" s="42">
        <f t="shared" si="15"/>
        <v>2.1779865181139706</v>
      </c>
      <c r="AJ17" s="80" t="str">
        <f t="shared" si="16"/>
        <v>HIGH</v>
      </c>
      <c r="AK17" s="80" t="str">
        <f t="shared" si="17"/>
        <v>HIGH</v>
      </c>
      <c r="AL17" s="130"/>
      <c r="AM17" s="130"/>
      <c r="AN17" s="126" t="str">
        <f>IF(AND(Z17&gt;Summary!$C$5, Z17&lt;=Summary!$D$5),Summary!$B$5,IF(AND(Z17&gt;Summary!$C$6, Z17&lt;=Summary!$D$6),Summary!$B$6,IF(AND(Z17&gt;Summary!$C$7, Z17&lt;=Summary!$D$7),Summary!$B$7,Summary!$B$8)))</f>
        <v>◎</v>
      </c>
      <c r="AO17" s="14" t="s">
        <v>168</v>
      </c>
      <c r="AP17" s="14"/>
      <c r="AQ17" s="14" t="s">
        <v>168</v>
      </c>
      <c r="AR17" s="14"/>
      <c r="AS17" s="14"/>
      <c r="AT17" s="5" t="s">
        <v>231</v>
      </c>
      <c r="AU17" s="80" t="s">
        <v>544</v>
      </c>
      <c r="AV17" s="4" t="s">
        <v>168</v>
      </c>
      <c r="AW17" s="103">
        <v>10.6</v>
      </c>
      <c r="AX17" s="103">
        <v>39</v>
      </c>
      <c r="AY17" s="33">
        <f t="shared" si="19"/>
        <v>0.27179487179487177</v>
      </c>
      <c r="AZ17" s="42">
        <v>0.22900000000000001</v>
      </c>
      <c r="BA17" s="3">
        <v>1</v>
      </c>
      <c r="BB17" s="37">
        <f t="shared" si="20"/>
        <v>4.3668122270742353</v>
      </c>
      <c r="BC17" s="3">
        <v>1</v>
      </c>
      <c r="BD17" s="3">
        <v>1</v>
      </c>
      <c r="BE17" s="80" t="s">
        <v>545</v>
      </c>
      <c r="BF17" s="4" t="s">
        <v>168</v>
      </c>
      <c r="BG17" s="6">
        <v>22.8</v>
      </c>
      <c r="BH17" s="6">
        <v>33</v>
      </c>
      <c r="BI17" s="33">
        <f t="shared" si="21"/>
        <v>0.69090909090909092</v>
      </c>
      <c r="BJ17" s="42">
        <v>0.97599999999999998</v>
      </c>
      <c r="BK17" s="3">
        <v>0</v>
      </c>
      <c r="BL17" s="37">
        <f t="shared" si="22"/>
        <v>0</v>
      </c>
      <c r="BM17" s="3">
        <v>0</v>
      </c>
      <c r="BN17" s="3">
        <v>0</v>
      </c>
      <c r="BO17" s="80" t="s">
        <v>546</v>
      </c>
      <c r="BP17" s="4" t="s">
        <v>168</v>
      </c>
      <c r="BQ17" s="6">
        <v>16.100000000000001</v>
      </c>
      <c r="BR17" s="6">
        <v>35</v>
      </c>
      <c r="BS17" s="33">
        <f t="shared" si="23"/>
        <v>0.46</v>
      </c>
      <c r="BT17" s="42">
        <v>0.67200000000000004</v>
      </c>
      <c r="BU17" s="3">
        <v>4</v>
      </c>
      <c r="BV17" s="37">
        <f t="shared" si="24"/>
        <v>5.9523809523809517</v>
      </c>
      <c r="BW17" s="3">
        <v>4</v>
      </c>
      <c r="BX17" s="3">
        <v>4</v>
      </c>
      <c r="BY17" s="80" t="s">
        <v>547</v>
      </c>
      <c r="BZ17" s="4" t="s">
        <v>168</v>
      </c>
      <c r="CA17" s="6">
        <v>22.8</v>
      </c>
      <c r="CB17" s="6">
        <v>35.5</v>
      </c>
      <c r="CC17" s="33">
        <f t="shared" si="25"/>
        <v>0.6422535211267606</v>
      </c>
      <c r="CD17" s="42">
        <v>1.1180000000000001</v>
      </c>
      <c r="CE17" s="3">
        <v>1</v>
      </c>
      <c r="CF17" s="37">
        <f t="shared" si="26"/>
        <v>0.89445438282647571</v>
      </c>
      <c r="CG17" s="3">
        <v>1</v>
      </c>
      <c r="CH17" s="3">
        <v>1</v>
      </c>
      <c r="CI17" s="80" t="s">
        <v>548</v>
      </c>
      <c r="CJ17" s="4" t="s">
        <v>168</v>
      </c>
      <c r="CK17" s="6">
        <v>13.6</v>
      </c>
      <c r="CL17">
        <v>16</v>
      </c>
      <c r="CM17" s="33">
        <f>IF(CL17="","",CK17/CL17)</f>
        <v>0.85</v>
      </c>
      <c r="CN17" s="42">
        <v>0.25700000000000001</v>
      </c>
      <c r="CO17" s="3">
        <v>0</v>
      </c>
      <c r="CP17" s="37">
        <f t="shared" si="28"/>
        <v>0</v>
      </c>
      <c r="CQ17" s="3">
        <v>0</v>
      </c>
      <c r="CR17" s="3">
        <v>0</v>
      </c>
      <c r="CS17" s="80" t="s">
        <v>549</v>
      </c>
      <c r="CT17" s="4" t="s">
        <v>168</v>
      </c>
      <c r="CU17" s="6">
        <v>10.6</v>
      </c>
      <c r="CV17" s="6">
        <v>14</v>
      </c>
      <c r="CW17" s="33">
        <f t="shared" si="29"/>
        <v>0.75714285714285712</v>
      </c>
      <c r="CX17" s="42">
        <v>0.315</v>
      </c>
      <c r="CY17" s="3">
        <v>0</v>
      </c>
      <c r="CZ17" s="37">
        <f t="shared" si="30"/>
        <v>0</v>
      </c>
      <c r="DA17" s="3">
        <v>0</v>
      </c>
      <c r="DB17" s="3">
        <v>0</v>
      </c>
      <c r="DC17" s="80" t="s">
        <v>550</v>
      </c>
      <c r="DD17" s="4" t="s">
        <v>168</v>
      </c>
      <c r="DE17" s="6">
        <v>10.7</v>
      </c>
      <c r="DF17" s="6">
        <v>14</v>
      </c>
      <c r="DG17" s="33">
        <f t="shared" si="31"/>
        <v>0.76428571428571423</v>
      </c>
      <c r="DH17" s="42">
        <v>0.496</v>
      </c>
      <c r="DI17" s="3">
        <v>2</v>
      </c>
      <c r="DJ17" s="37">
        <f t="shared" si="32"/>
        <v>4.032258064516129</v>
      </c>
      <c r="DK17" s="3">
        <v>2</v>
      </c>
      <c r="DL17" s="3">
        <v>2</v>
      </c>
      <c r="DM17" s="4" t="s">
        <v>461</v>
      </c>
      <c r="DN17" s="4"/>
      <c r="DO17" s="6"/>
      <c r="DP17" s="6"/>
      <c r="DQ17" s="33" t="str">
        <f t="shared" si="33"/>
        <v/>
      </c>
      <c r="DR17" s="42"/>
      <c r="DS17" s="3"/>
      <c r="DT17" s="37" t="str">
        <f t="shared" si="34"/>
        <v/>
      </c>
      <c r="DU17" s="3"/>
      <c r="DV17" s="3"/>
      <c r="DW17" s="4"/>
      <c r="DX17" s="4"/>
      <c r="DY17" s="6"/>
      <c r="DZ17" s="6"/>
      <c r="EA17" s="33" t="str">
        <f t="shared" si="35"/>
        <v/>
      </c>
      <c r="EB17" s="42"/>
      <c r="EC17" s="3"/>
      <c r="ED17" s="37" t="str">
        <f t="shared" si="36"/>
        <v/>
      </c>
      <c r="EE17" s="3"/>
      <c r="EF17" s="3"/>
      <c r="EG17" s="4"/>
      <c r="EH17" s="4"/>
      <c r="EI17" s="6"/>
      <c r="EJ17" s="6"/>
      <c r="EK17" s="33" t="str">
        <f t="shared" si="37"/>
        <v/>
      </c>
      <c r="EL17" s="42"/>
      <c r="EM17" s="3"/>
      <c r="EN17" s="37" t="str">
        <f t="shared" si="38"/>
        <v/>
      </c>
      <c r="EO17" s="3"/>
      <c r="EP17" s="3"/>
      <c r="EQ17" s="4"/>
      <c r="ER17" s="4"/>
      <c r="ES17" s="6"/>
      <c r="ET17" s="6"/>
      <c r="EU17" s="33" t="str">
        <f t="shared" si="39"/>
        <v/>
      </c>
      <c r="EV17" s="42"/>
      <c r="EW17" s="3"/>
      <c r="EX17" s="37" t="str">
        <f t="shared" si="40"/>
        <v/>
      </c>
      <c r="EY17" s="3"/>
      <c r="EZ17" s="3"/>
      <c r="FA17" s="4"/>
      <c r="FB17" s="4"/>
      <c r="FC17" s="6"/>
      <c r="FD17" s="6"/>
      <c r="FE17" s="33" t="str">
        <f t="shared" si="41"/>
        <v/>
      </c>
      <c r="FF17" s="42"/>
      <c r="FG17" s="3"/>
      <c r="FH17" s="37" t="str">
        <f t="shared" si="42"/>
        <v/>
      </c>
      <c r="FI17" s="3"/>
      <c r="FJ17" s="3"/>
      <c r="FM17" s="54">
        <f t="shared" si="45"/>
        <v>4.0629999999999997</v>
      </c>
      <c r="FN17" s="54">
        <f t="shared" si="45"/>
        <v>8</v>
      </c>
      <c r="FO17" s="471">
        <f t="shared" si="43"/>
        <v>107.2</v>
      </c>
      <c r="FP17" s="471">
        <f t="shared" si="43"/>
        <v>186.5</v>
      </c>
      <c r="FR17">
        <f t="shared" si="18"/>
        <v>1.9689884321929609</v>
      </c>
    </row>
    <row r="18" spans="2:174" ht="123.75" customHeight="1">
      <c r="B18" s="3" t="s">
        <v>551</v>
      </c>
      <c r="C18" s="3" t="s">
        <v>223</v>
      </c>
      <c r="D18" s="4" t="s">
        <v>313</v>
      </c>
      <c r="E18" s="4">
        <v>4</v>
      </c>
      <c r="F18" s="123" t="str">
        <f t="shared" si="1"/>
        <v>×
[P・Q]
×・○</v>
      </c>
      <c r="G18" s="123" t="str">
        <f t="shared" si="2"/>
        <v>×
[P・Q]
×・×</v>
      </c>
      <c r="H18" s="123" t="str">
        <f t="shared" si="46"/>
        <v>×
[P・Q]
×・○</v>
      </c>
      <c r="I18" s="123" t="str">
        <f t="shared" si="47"/>
        <v>○
[P・Q]
○・○</v>
      </c>
      <c r="J18" s="123" t="str">
        <f t="shared" si="48"/>
        <v/>
      </c>
      <c r="K18" s="123" t="str">
        <f t="shared" si="4"/>
        <v/>
      </c>
      <c r="L18" s="123" t="str">
        <f t="shared" si="5"/>
        <v/>
      </c>
      <c r="M18" s="123" t="str">
        <f t="shared" si="6"/>
        <v/>
      </c>
      <c r="N18" s="123" t="str">
        <f t="shared" si="7"/>
        <v/>
      </c>
      <c r="O18" s="123" t="str">
        <f t="shared" si="8"/>
        <v/>
      </c>
      <c r="P18" s="123" t="str">
        <f t="shared" si="9"/>
        <v/>
      </c>
      <c r="Q18" s="123" t="str">
        <f t="shared" si="10"/>
        <v/>
      </c>
      <c r="R18" s="76">
        <f t="shared" si="11"/>
        <v>1</v>
      </c>
      <c r="S18" s="4">
        <v>5</v>
      </c>
      <c r="T18" s="4">
        <v>5</v>
      </c>
      <c r="U18" s="4">
        <v>5</v>
      </c>
      <c r="V18" s="4">
        <v>5</v>
      </c>
      <c r="W18" s="77">
        <f t="shared" si="12"/>
        <v>9.375</v>
      </c>
      <c r="X18" s="77">
        <f t="shared" si="13"/>
        <v>28.125</v>
      </c>
      <c r="Y18" s="77" cm="1">
        <f t="array" ref="Y18">_xlfn.IFS(R18&gt;=0.8,5,R18&gt;=0.6,3,R18&gt;=0.2,1,R18&lt;0.2,0)</f>
        <v>5</v>
      </c>
      <c r="Z18" s="140">
        <f t="shared" si="44"/>
        <v>62.5</v>
      </c>
      <c r="AA18" s="144" t="s">
        <v>552</v>
      </c>
      <c r="AB18" s="99" t="s">
        <v>553</v>
      </c>
      <c r="AC18" s="191" t="s">
        <v>251</v>
      </c>
      <c r="AD18" s="5" t="s">
        <v>554</v>
      </c>
      <c r="AE18" s="197" t="s">
        <v>174</v>
      </c>
      <c r="AF18" s="5" t="s">
        <v>555</v>
      </c>
      <c r="AG18" s="5"/>
      <c r="AH18" s="207">
        <f t="shared" si="14"/>
        <v>0.64814483497901376</v>
      </c>
      <c r="AI18" s="42">
        <f t="shared" si="15"/>
        <v>9.2192728882638662</v>
      </c>
      <c r="AJ18" s="80" t="str">
        <f t="shared" si="16"/>
        <v>HIGH</v>
      </c>
      <c r="AK18" s="80" t="str">
        <f t="shared" si="17"/>
        <v>LOW</v>
      </c>
      <c r="AL18" s="5"/>
      <c r="AM18" s="5"/>
      <c r="AN18" s="126" t="str">
        <f>IF(AND(Z18&gt;Summary!$C$5, Z18&lt;=Summary!$D$5),Summary!$B$5,IF(AND(Z18&gt;Summary!$C$6, Z18&lt;=Summary!$D$6),Summary!$B$6,IF(AND(Z18&gt;Summary!$C$7, Z18&lt;=Summary!$D$7),Summary!$B$7,Summary!$B$8)))</f>
        <v>○</v>
      </c>
      <c r="AO18" s="14" t="s">
        <v>168</v>
      </c>
      <c r="AP18" s="14"/>
      <c r="AQ18" s="14" t="s">
        <v>168</v>
      </c>
      <c r="AR18" s="14"/>
      <c r="AS18" s="14"/>
      <c r="AT18" s="5" t="s">
        <v>245</v>
      </c>
      <c r="AU18" s="80" t="s">
        <v>556</v>
      </c>
      <c r="AV18" s="4" t="s">
        <v>168</v>
      </c>
      <c r="AW18" s="103">
        <v>19.399999999999999</v>
      </c>
      <c r="AX18" s="103">
        <v>42</v>
      </c>
      <c r="AY18" s="33">
        <f t="shared" si="19"/>
        <v>0.46190476190476187</v>
      </c>
      <c r="AZ18" s="42">
        <v>0.21199999999999999</v>
      </c>
      <c r="BA18" s="3">
        <v>1</v>
      </c>
      <c r="BB18" s="37">
        <f t="shared" si="20"/>
        <v>4.716981132075472</v>
      </c>
      <c r="BC18" s="3">
        <v>1</v>
      </c>
      <c r="BD18" s="3">
        <v>1</v>
      </c>
      <c r="BE18" s="80" t="s">
        <v>557</v>
      </c>
      <c r="BF18" s="4" t="s">
        <v>168</v>
      </c>
      <c r="BG18" s="6">
        <v>18.5</v>
      </c>
      <c r="BH18" s="6">
        <v>38</v>
      </c>
      <c r="BI18" s="33">
        <f>IF(BH18="","",BG18/BH18)</f>
        <v>0.48684210526315791</v>
      </c>
      <c r="BJ18" s="42">
        <v>0.189</v>
      </c>
      <c r="BK18" s="3">
        <v>6</v>
      </c>
      <c r="BL18" s="37">
        <f t="shared" si="22"/>
        <v>31.746031746031747</v>
      </c>
      <c r="BM18" s="3">
        <v>6</v>
      </c>
      <c r="BN18" s="3">
        <v>6</v>
      </c>
      <c r="BO18" s="80" t="s">
        <v>558</v>
      </c>
      <c r="BP18" s="4" t="s">
        <v>168</v>
      </c>
      <c r="BQ18" s="6">
        <v>22.8</v>
      </c>
      <c r="BR18" s="6">
        <v>63</v>
      </c>
      <c r="BS18" s="33">
        <f t="shared" si="23"/>
        <v>0.3619047619047619</v>
      </c>
      <c r="BT18" s="42">
        <v>2.5960000000000001</v>
      </c>
      <c r="BU18" s="3">
        <v>0</v>
      </c>
      <c r="BV18" s="37">
        <f t="shared" si="24"/>
        <v>0</v>
      </c>
      <c r="BW18" s="3">
        <v>0</v>
      </c>
      <c r="BX18" s="3">
        <v>0</v>
      </c>
      <c r="BY18" s="80" t="s">
        <v>559</v>
      </c>
      <c r="BZ18" s="4" t="s">
        <v>168</v>
      </c>
      <c r="CA18" s="6">
        <v>53.2</v>
      </c>
      <c r="CB18" s="6">
        <v>41.5</v>
      </c>
      <c r="CC18" s="33">
        <f t="shared" si="25"/>
        <v>1.2819277108433735</v>
      </c>
      <c r="CD18" s="42">
        <v>2.415</v>
      </c>
      <c r="CE18" s="3">
        <v>1</v>
      </c>
      <c r="CF18" s="37">
        <f t="shared" si="26"/>
        <v>0.41407867494824013</v>
      </c>
      <c r="CG18" s="3">
        <v>1</v>
      </c>
      <c r="CH18" s="3">
        <v>1</v>
      </c>
      <c r="CI18" s="4" t="s">
        <v>461</v>
      </c>
      <c r="CJ18" s="4"/>
      <c r="CK18" s="6"/>
      <c r="CL18" s="6"/>
      <c r="CM18" s="33" t="str">
        <f t="shared" si="27"/>
        <v/>
      </c>
      <c r="CN18" s="42"/>
      <c r="CO18" s="3"/>
      <c r="CP18" s="37" t="str">
        <f t="shared" si="28"/>
        <v/>
      </c>
      <c r="CQ18" s="3"/>
      <c r="CR18" s="3"/>
      <c r="CS18" s="4" t="s">
        <v>461</v>
      </c>
      <c r="CT18" s="4"/>
      <c r="CU18" s="6"/>
      <c r="CV18" s="6"/>
      <c r="CW18" s="33" t="str">
        <f t="shared" si="29"/>
        <v/>
      </c>
      <c r="CX18" s="42"/>
      <c r="CY18" s="3"/>
      <c r="CZ18" s="37" t="str">
        <f t="shared" si="30"/>
        <v/>
      </c>
      <c r="DA18" s="3"/>
      <c r="DB18" s="3"/>
      <c r="DC18" s="4" t="s">
        <v>461</v>
      </c>
      <c r="DD18" s="4"/>
      <c r="DE18" s="6"/>
      <c r="DF18" s="6"/>
      <c r="DG18" s="33" t="str">
        <f t="shared" si="31"/>
        <v/>
      </c>
      <c r="DH18" s="42"/>
      <c r="DI18" s="3"/>
      <c r="DJ18" s="37" t="str">
        <f t="shared" si="32"/>
        <v/>
      </c>
      <c r="DK18" s="3"/>
      <c r="DL18" s="3"/>
      <c r="DM18" s="4" t="s">
        <v>461</v>
      </c>
      <c r="DN18" s="4"/>
      <c r="DO18" s="6"/>
      <c r="DP18" s="6"/>
      <c r="DQ18" s="33" t="str">
        <f t="shared" si="33"/>
        <v/>
      </c>
      <c r="DR18" s="42"/>
      <c r="DS18" s="3"/>
      <c r="DT18" s="37" t="str">
        <f t="shared" si="34"/>
        <v/>
      </c>
      <c r="DU18" s="3"/>
      <c r="DV18" s="3"/>
      <c r="DW18" s="4"/>
      <c r="DX18" s="4"/>
      <c r="DY18" s="6"/>
      <c r="DZ18" s="6"/>
      <c r="EA18" s="33" t="str">
        <f t="shared" si="35"/>
        <v/>
      </c>
      <c r="EB18" s="42"/>
      <c r="EC18" s="3"/>
      <c r="ED18" s="37" t="str">
        <f t="shared" si="36"/>
        <v/>
      </c>
      <c r="EE18" s="3"/>
      <c r="EF18" s="3"/>
      <c r="EG18" s="4"/>
      <c r="EH18" s="4"/>
      <c r="EI18" s="6"/>
      <c r="EJ18" s="6"/>
      <c r="EK18" s="33" t="str">
        <f t="shared" si="37"/>
        <v/>
      </c>
      <c r="EL18" s="42"/>
      <c r="EM18" s="3"/>
      <c r="EN18" s="37" t="str">
        <f t="shared" si="38"/>
        <v/>
      </c>
      <c r="EO18" s="3"/>
      <c r="EP18" s="3"/>
      <c r="EQ18" s="4"/>
      <c r="ER18" s="4"/>
      <c r="ES18" s="6"/>
      <c r="ET18" s="6"/>
      <c r="EU18" s="33" t="str">
        <f t="shared" si="39"/>
        <v/>
      </c>
      <c r="EV18" s="42"/>
      <c r="EW18" s="3"/>
      <c r="EX18" s="37" t="str">
        <f t="shared" si="40"/>
        <v/>
      </c>
      <c r="EY18" s="3"/>
      <c r="EZ18" s="3"/>
      <c r="FA18" s="4"/>
      <c r="FB18" s="4"/>
      <c r="FC18" s="6"/>
      <c r="FD18" s="6"/>
      <c r="FE18" s="33" t="str">
        <f t="shared" si="41"/>
        <v/>
      </c>
      <c r="FF18" s="42"/>
      <c r="FG18" s="3"/>
      <c r="FH18" s="37" t="str">
        <f t="shared" si="42"/>
        <v/>
      </c>
      <c r="FI18" s="3"/>
      <c r="FJ18" s="3"/>
      <c r="FM18" s="54">
        <f t="shared" si="45"/>
        <v>5.4119999999999999</v>
      </c>
      <c r="FN18" s="54">
        <f t="shared" si="45"/>
        <v>8</v>
      </c>
      <c r="FO18" s="471">
        <f t="shared" si="43"/>
        <v>113.9</v>
      </c>
      <c r="FP18" s="471">
        <f t="shared" si="43"/>
        <v>184.5</v>
      </c>
      <c r="FR18">
        <f t="shared" si="18"/>
        <v>1.4781966001478197</v>
      </c>
    </row>
    <row r="19" spans="2:174" ht="127.9" customHeight="1">
      <c r="B19" s="3" t="s">
        <v>560</v>
      </c>
      <c r="C19" s="3" t="s">
        <v>223</v>
      </c>
      <c r="D19" s="4" t="s">
        <v>224</v>
      </c>
      <c r="E19" s="4">
        <v>7</v>
      </c>
      <c r="F19" s="123" t="str">
        <f t="shared" si="1"/>
        <v>×
[P・Q]
×・×</v>
      </c>
      <c r="G19" s="123" t="str">
        <f t="shared" si="2"/>
        <v>○
[P・Q]
○・○</v>
      </c>
      <c r="H19" s="123" t="str">
        <f t="shared" si="46"/>
        <v>×
[P・Q]
×・○</v>
      </c>
      <c r="I19" s="123" t="str">
        <f t="shared" si="47"/>
        <v>○
[P・Q]
○・○</v>
      </c>
      <c r="J19" s="123" t="str">
        <f t="shared" si="48"/>
        <v>○
[P・Q]
○・○</v>
      </c>
      <c r="K19" s="123" t="str">
        <f t="shared" si="4"/>
        <v>×
[P・Q]
○・○</v>
      </c>
      <c r="L19" s="123" t="str">
        <f t="shared" si="5"/>
        <v>○
[P・Q]
○・○</v>
      </c>
      <c r="M19" s="123" t="str">
        <f t="shared" si="6"/>
        <v/>
      </c>
      <c r="N19" s="123" t="str">
        <f t="shared" si="7"/>
        <v/>
      </c>
      <c r="O19" s="123" t="str">
        <f t="shared" si="8"/>
        <v/>
      </c>
      <c r="P19" s="123" t="str">
        <f t="shared" si="9"/>
        <v/>
      </c>
      <c r="Q19" s="123" t="str">
        <f t="shared" si="10"/>
        <v/>
      </c>
      <c r="R19" s="76">
        <f t="shared" si="11"/>
        <v>1</v>
      </c>
      <c r="S19" s="4">
        <v>5</v>
      </c>
      <c r="T19" s="4">
        <v>5</v>
      </c>
      <c r="U19" s="4">
        <v>3</v>
      </c>
      <c r="V19" s="4">
        <v>3</v>
      </c>
      <c r="W19" s="77">
        <f t="shared" si="12"/>
        <v>26.785714285714285</v>
      </c>
      <c r="X19" s="77">
        <f t="shared" si="13"/>
        <v>26.785714285714285</v>
      </c>
      <c r="Y19" s="77" cm="1">
        <f t="array" ref="Y19">_xlfn.IFS(R19&gt;=0.8,5,R19&gt;=0.6,3,R19&gt;=0.2,1,R19&lt;0.2,0)</f>
        <v>5</v>
      </c>
      <c r="Z19" s="140">
        <f t="shared" si="44"/>
        <v>74.571428571428569</v>
      </c>
      <c r="AA19" s="228" t="s">
        <v>561</v>
      </c>
      <c r="AB19" s="142" t="s">
        <v>562</v>
      </c>
      <c r="AC19" s="338" t="s">
        <v>251</v>
      </c>
      <c r="AD19" s="5" t="s">
        <v>563</v>
      </c>
      <c r="AE19" s="142"/>
      <c r="AF19" s="5" t="s">
        <v>564</v>
      </c>
      <c r="AG19" s="310">
        <f>TaskEndDay!H31</f>
        <v>1</v>
      </c>
      <c r="AH19" s="207">
        <f>IFERROR(AVERAGE(AY19,BI19,BS19,CC19,CM19,CW19,DG19,DQ19,EA19,EK19)," ")</f>
        <v>1.3133634734441186</v>
      </c>
      <c r="AI19" s="42">
        <f>IFERROR(AVERAGE(BB19,BL19,BV19,CF19,CP19,CZ19,DJ19,DT19,ED19,EN19)," ")</f>
        <v>9.006416425516246</v>
      </c>
      <c r="AJ19" s="80" t="str">
        <f t="shared" si="16"/>
        <v>HIGH</v>
      </c>
      <c r="AK19" s="80" t="str">
        <f>IFERROR(IF(AI19&lt;=8,"HIGH","LOW"),"")</f>
        <v>LOW</v>
      </c>
      <c r="AL19" s="313" t="s">
        <v>565</v>
      </c>
      <c r="AM19" s="317" t="s">
        <v>566</v>
      </c>
      <c r="AN19" s="126" t="str">
        <f>IF(AND(Z19&gt;Summary!$C$5, Z19&lt;=Summary!$D$5),Summary!$B$5,IF(AND(Z19&gt;Summary!$C$6, Z19&lt;=Summary!$D$6),Summary!$B$6,IF(AND(Z19&gt;Summary!$C$7, Z19&lt;=Summary!$D$7),Summary!$B$7,Summary!$B$8)))</f>
        <v>◎</v>
      </c>
      <c r="AO19" s="14" t="s">
        <v>168</v>
      </c>
      <c r="AP19" s="14"/>
      <c r="AQ19" s="14"/>
      <c r="AR19" s="14"/>
      <c r="AS19" s="14" t="s">
        <v>168</v>
      </c>
      <c r="AT19" s="5" t="s">
        <v>245</v>
      </c>
      <c r="AU19" s="80" t="s">
        <v>567</v>
      </c>
      <c r="AV19" s="4" t="s">
        <v>168</v>
      </c>
      <c r="AW19" s="103">
        <v>10.5</v>
      </c>
      <c r="AX19" s="103">
        <v>24</v>
      </c>
      <c r="AY19" s="33">
        <f t="shared" si="19"/>
        <v>0.4375</v>
      </c>
      <c r="AZ19" s="42">
        <v>0.253</v>
      </c>
      <c r="BA19" s="3">
        <v>3</v>
      </c>
      <c r="BB19" s="37">
        <f t="shared" si="20"/>
        <v>11.857707509881422</v>
      </c>
      <c r="BC19" s="3">
        <v>3</v>
      </c>
      <c r="BD19" s="3">
        <v>3</v>
      </c>
      <c r="BE19" s="80" t="s">
        <v>568</v>
      </c>
      <c r="BF19" s="4" t="s">
        <v>168</v>
      </c>
      <c r="BG19" s="6">
        <v>22.8</v>
      </c>
      <c r="BH19" s="6">
        <v>31</v>
      </c>
      <c r="BI19" s="33">
        <f t="shared" si="21"/>
        <v>0.73548387096774193</v>
      </c>
      <c r="BJ19" s="42">
        <v>1.3420000000000001</v>
      </c>
      <c r="BK19" s="3">
        <v>0</v>
      </c>
      <c r="BL19" s="37">
        <f t="shared" si="22"/>
        <v>0</v>
      </c>
      <c r="BM19" s="3">
        <v>0</v>
      </c>
      <c r="BN19" s="3">
        <v>0</v>
      </c>
      <c r="BO19" s="80" t="s">
        <v>569</v>
      </c>
      <c r="BP19" s="4" t="s">
        <v>168</v>
      </c>
      <c r="BQ19" s="6">
        <v>16.2</v>
      </c>
      <c r="BR19" s="6">
        <v>31</v>
      </c>
      <c r="BS19" s="33">
        <f t="shared" si="23"/>
        <v>0.52258064516129032</v>
      </c>
      <c r="BT19" s="42">
        <v>0.79400000000000004</v>
      </c>
      <c r="BU19" s="3">
        <v>5</v>
      </c>
      <c r="BV19" s="37">
        <f t="shared" si="24"/>
        <v>6.2972292191435768</v>
      </c>
      <c r="BW19" s="3">
        <v>5</v>
      </c>
      <c r="BX19" s="3">
        <v>5</v>
      </c>
      <c r="BY19" s="80" t="s">
        <v>570</v>
      </c>
      <c r="BZ19" s="4" t="s">
        <v>168</v>
      </c>
      <c r="CA19" s="6">
        <v>23.4</v>
      </c>
      <c r="CB19" s="6">
        <f>5+1+7</f>
        <v>13</v>
      </c>
      <c r="CC19" s="33">
        <f t="shared" si="25"/>
        <v>1.7999999999999998</v>
      </c>
      <c r="CD19" s="42">
        <v>1.589</v>
      </c>
      <c r="CE19" s="3">
        <v>1</v>
      </c>
      <c r="CF19" s="37">
        <f t="shared" si="26"/>
        <v>0.62932662051604782</v>
      </c>
      <c r="CG19" s="3">
        <v>1</v>
      </c>
      <c r="CH19" s="3">
        <v>1</v>
      </c>
      <c r="CI19" s="80" t="s">
        <v>571</v>
      </c>
      <c r="CJ19" s="4" t="s">
        <v>168</v>
      </c>
      <c r="CK19" s="6">
        <v>15.5</v>
      </c>
      <c r="CL19" s="6">
        <f>5+1+3</f>
        <v>9</v>
      </c>
      <c r="CM19" s="33">
        <f t="shared" si="27"/>
        <v>1.7222222222222223</v>
      </c>
      <c r="CN19" s="42">
        <v>0.15</v>
      </c>
      <c r="CO19" s="3">
        <v>1</v>
      </c>
      <c r="CP19" s="37">
        <f t="shared" si="28"/>
        <v>6.666666666666667</v>
      </c>
      <c r="CQ19" s="3">
        <v>1</v>
      </c>
      <c r="CR19" s="3">
        <v>1</v>
      </c>
      <c r="CS19" s="80" t="s">
        <v>572</v>
      </c>
      <c r="CT19" s="4" t="s">
        <v>168</v>
      </c>
      <c r="CU19" s="6">
        <v>15.5</v>
      </c>
      <c r="CV19" s="6">
        <v>11</v>
      </c>
      <c r="CW19" s="33">
        <f t="shared" si="29"/>
        <v>1.4090909090909092</v>
      </c>
      <c r="CX19" s="42">
        <v>0.13300000000000001</v>
      </c>
      <c r="CY19" s="3">
        <v>5</v>
      </c>
      <c r="CZ19" s="37">
        <f t="shared" si="30"/>
        <v>37.593984962406012</v>
      </c>
      <c r="DA19" s="3">
        <v>5</v>
      </c>
      <c r="DB19" s="3">
        <v>5</v>
      </c>
      <c r="DC19" s="80" t="s">
        <v>573</v>
      </c>
      <c r="DD19" s="4" t="s">
        <v>168</v>
      </c>
      <c r="DE19" s="6">
        <v>15.4</v>
      </c>
      <c r="DF19" s="6">
        <f>3+1+2</f>
        <v>6</v>
      </c>
      <c r="DG19" s="33">
        <f t="shared" si="31"/>
        <v>2.5666666666666669</v>
      </c>
      <c r="DH19" s="42">
        <v>0.14499999999999999</v>
      </c>
      <c r="DI19" s="3">
        <v>0</v>
      </c>
      <c r="DJ19" s="37">
        <f t="shared" si="32"/>
        <v>0</v>
      </c>
      <c r="DK19" s="3">
        <v>0</v>
      </c>
      <c r="DL19" s="3">
        <v>0</v>
      </c>
      <c r="DM19" s="4" t="s">
        <v>461</v>
      </c>
      <c r="DN19" s="4"/>
      <c r="DO19" s="6"/>
      <c r="DP19" s="6"/>
      <c r="DQ19" s="33" t="str">
        <f t="shared" si="33"/>
        <v/>
      </c>
      <c r="DR19" s="42"/>
      <c r="DS19" s="3"/>
      <c r="DT19" s="37" t="str">
        <f t="shared" si="34"/>
        <v/>
      </c>
      <c r="DU19" s="3"/>
      <c r="DV19" s="3"/>
      <c r="DW19" s="4"/>
      <c r="DX19" s="4"/>
      <c r="DY19" s="6"/>
      <c r="DZ19" s="6"/>
      <c r="EA19" s="33" t="str">
        <f t="shared" si="35"/>
        <v/>
      </c>
      <c r="EB19" s="42"/>
      <c r="EC19" s="3"/>
      <c r="ED19" s="37" t="str">
        <f t="shared" si="36"/>
        <v/>
      </c>
      <c r="EE19" s="3"/>
      <c r="EF19" s="3"/>
      <c r="EG19" s="4"/>
      <c r="EH19" s="4"/>
      <c r="EI19" s="6"/>
      <c r="EJ19" s="6"/>
      <c r="EK19" s="33" t="str">
        <f t="shared" si="37"/>
        <v/>
      </c>
      <c r="EL19" s="42"/>
      <c r="EM19" s="3"/>
      <c r="EN19" s="37" t="str">
        <f t="shared" si="38"/>
        <v/>
      </c>
      <c r="EO19" s="3"/>
      <c r="EP19" s="3"/>
      <c r="EQ19" s="4"/>
      <c r="ER19" s="4"/>
      <c r="ES19" s="6"/>
      <c r="ET19" s="6"/>
      <c r="EU19" s="33" t="str">
        <f t="shared" si="39"/>
        <v/>
      </c>
      <c r="EV19" s="42"/>
      <c r="EW19" s="3"/>
      <c r="EX19" s="37" t="str">
        <f t="shared" si="40"/>
        <v/>
      </c>
      <c r="EY19" s="3"/>
      <c r="EZ19" s="3"/>
      <c r="FA19" s="4"/>
      <c r="FB19" s="4"/>
      <c r="FC19" s="6"/>
      <c r="FD19" s="6"/>
      <c r="FE19" s="33" t="str">
        <f t="shared" si="41"/>
        <v/>
      </c>
      <c r="FF19" s="42"/>
      <c r="FG19" s="3"/>
      <c r="FH19" s="37" t="str">
        <f t="shared" si="42"/>
        <v/>
      </c>
      <c r="FI19" s="3"/>
      <c r="FJ19" s="3"/>
      <c r="FM19" s="54">
        <f t="shared" si="45"/>
        <v>4.4060000000000006</v>
      </c>
      <c r="FN19" s="54">
        <f t="shared" si="45"/>
        <v>15</v>
      </c>
      <c r="FO19" s="471">
        <f t="shared" si="43"/>
        <v>119.3</v>
      </c>
      <c r="FP19" s="471">
        <f t="shared" si="43"/>
        <v>125</v>
      </c>
      <c r="FR19">
        <f t="shared" si="18"/>
        <v>3.4044484793463456</v>
      </c>
    </row>
    <row r="20" spans="2:174" ht="42" customHeight="1">
      <c r="B20" s="27" t="s">
        <v>574</v>
      </c>
      <c r="C20" s="27" t="s">
        <v>223</v>
      </c>
      <c r="D20" s="28" t="s">
        <v>224</v>
      </c>
      <c r="E20" s="4">
        <v>4</v>
      </c>
      <c r="F20" s="123" t="str">
        <f t="shared" si="1"/>
        <v>×
[P・Q]
○・×</v>
      </c>
      <c r="G20" s="123" t="str">
        <f t="shared" si="2"/>
        <v>○
[P・Q]
○・○</v>
      </c>
      <c r="H20" s="123" t="str">
        <f t="shared" si="46"/>
        <v>×
[P・Q]
×・○</v>
      </c>
      <c r="I20" s="123" t="str">
        <f t="shared" si="47"/>
        <v>○
[P・Q]
○・○</v>
      </c>
      <c r="J20" s="123" t="str">
        <f t="shared" si="48"/>
        <v/>
      </c>
      <c r="K20" s="123" t="str">
        <f t="shared" si="4"/>
        <v/>
      </c>
      <c r="L20" s="123" t="str">
        <f t="shared" si="5"/>
        <v/>
      </c>
      <c r="M20" s="123" t="str">
        <f t="shared" si="6"/>
        <v/>
      </c>
      <c r="N20" s="123" t="str">
        <f t="shared" si="7"/>
        <v/>
      </c>
      <c r="O20" s="123" t="str">
        <f t="shared" si="8"/>
        <v/>
      </c>
      <c r="P20" s="123" t="str">
        <f t="shared" si="9"/>
        <v/>
      </c>
      <c r="Q20" s="123" t="str">
        <f t="shared" si="10"/>
        <v/>
      </c>
      <c r="R20" s="76">
        <f t="shared" si="11"/>
        <v>1</v>
      </c>
      <c r="S20" s="4">
        <v>5</v>
      </c>
      <c r="T20" s="4">
        <v>5</v>
      </c>
      <c r="U20" s="4">
        <v>5</v>
      </c>
      <c r="V20" s="4">
        <v>5</v>
      </c>
      <c r="W20" s="77">
        <f t="shared" si="12"/>
        <v>28.125</v>
      </c>
      <c r="X20" s="77">
        <f t="shared" si="13"/>
        <v>28.125</v>
      </c>
      <c r="Y20" s="77" cm="1">
        <f t="array" ref="Y20">_xlfn.IFS(R20&gt;=0.8,5,R20&gt;=0.6,3,R20&gt;=0.2,1,R20&lt;0.2,0)</f>
        <v>5</v>
      </c>
      <c r="Z20" s="140">
        <f t="shared" si="44"/>
        <v>81.25</v>
      </c>
      <c r="AA20" s="322" t="s">
        <v>575</v>
      </c>
      <c r="AB20" s="142" t="s">
        <v>576</v>
      </c>
      <c r="AC20" s="5"/>
      <c r="AD20" s="221"/>
      <c r="AE20" s="5"/>
      <c r="AF20" s="5"/>
      <c r="AG20" s="5"/>
      <c r="AH20" s="207">
        <f>IFERROR(AVERAGE(AY20,BI20,BS20,CC20,CM20,CW20,DG20,DQ20,EA20,EK20)," ")</f>
        <v>0.89989177489177496</v>
      </c>
      <c r="AI20" s="42">
        <f>IFERROR(AVERAGE(BB20,BL20,BV20,CF20,CP20,CZ20,DJ20,DT20,ED20,EN20)," ")</f>
        <v>5.4645412088873044</v>
      </c>
      <c r="AJ20" s="80" t="str">
        <f t="shared" si="16"/>
        <v>HIGH</v>
      </c>
      <c r="AK20" s="80" t="str">
        <f t="shared" si="17"/>
        <v>HIGH</v>
      </c>
      <c r="AL20" s="5"/>
      <c r="AM20" s="5"/>
      <c r="AN20" s="126" t="str">
        <f>IF(AND(Z20&gt;Summary!$C$5, Z20&lt;=Summary!$D$5),Summary!$B$5,IF(AND(Z20&gt;Summary!$C$6, Z20&lt;=Summary!$D$6),Summary!$B$6,IF(AND(Z20&gt;Summary!$C$7, Z20&lt;=Summary!$D$7),Summary!$B$7,Summary!$B$8)))</f>
        <v>◎</v>
      </c>
      <c r="AO20" s="14" t="s">
        <v>168</v>
      </c>
      <c r="AP20" s="14" t="s">
        <v>168</v>
      </c>
      <c r="AQ20" s="14"/>
      <c r="AR20" s="14"/>
      <c r="AS20" s="14"/>
      <c r="AT20" s="5" t="s">
        <v>231</v>
      </c>
      <c r="AU20" s="80" t="s">
        <v>577</v>
      </c>
      <c r="AV20" s="4" t="s">
        <v>168</v>
      </c>
      <c r="AW20" s="103">
        <v>15.5</v>
      </c>
      <c r="AX20" s="103">
        <v>21</v>
      </c>
      <c r="AY20" s="33">
        <f t="shared" si="19"/>
        <v>0.73809523809523814</v>
      </c>
      <c r="AZ20" s="42">
        <v>0.23100000000000001</v>
      </c>
      <c r="BA20" s="3">
        <v>4</v>
      </c>
      <c r="BB20" s="37">
        <f t="shared" si="20"/>
        <v>17.316017316017316</v>
      </c>
      <c r="BC20" s="3">
        <v>4</v>
      </c>
      <c r="BD20" s="3">
        <v>4</v>
      </c>
      <c r="BE20" s="80" t="s">
        <v>578</v>
      </c>
      <c r="BF20" s="4" t="s">
        <v>168</v>
      </c>
      <c r="BG20" s="6">
        <v>22.8</v>
      </c>
      <c r="BH20" s="6">
        <v>21</v>
      </c>
      <c r="BI20" s="33">
        <f t="shared" si="21"/>
        <v>1.0857142857142859</v>
      </c>
      <c r="BJ20" s="42">
        <v>1.1379999999999999</v>
      </c>
      <c r="BK20" s="3">
        <v>0</v>
      </c>
      <c r="BL20" s="37">
        <f t="shared" si="22"/>
        <v>0</v>
      </c>
      <c r="BM20" s="3">
        <v>0</v>
      </c>
      <c r="BN20" s="3">
        <v>0</v>
      </c>
      <c r="BO20" s="80" t="s">
        <v>579</v>
      </c>
      <c r="BP20" s="4" t="s">
        <v>168</v>
      </c>
      <c r="BQ20" s="6">
        <v>11.2</v>
      </c>
      <c r="BR20" s="6">
        <v>22</v>
      </c>
      <c r="BS20" s="33">
        <f t="shared" si="23"/>
        <v>0.50909090909090904</v>
      </c>
      <c r="BT20" s="42">
        <v>0.71899999999999997</v>
      </c>
      <c r="BU20" s="3">
        <v>3</v>
      </c>
      <c r="BV20" s="37">
        <f>IF(BU20="","",BU20/BT20)</f>
        <v>4.1724617524339358</v>
      </c>
      <c r="BW20" s="3">
        <v>3</v>
      </c>
      <c r="BX20" s="3">
        <v>3</v>
      </c>
      <c r="BY20" s="80" t="s">
        <v>580</v>
      </c>
      <c r="BZ20" s="4" t="s">
        <v>168</v>
      </c>
      <c r="CA20" s="6">
        <v>22.8</v>
      </c>
      <c r="CB20" s="6">
        <v>18</v>
      </c>
      <c r="CC20" s="33">
        <f t="shared" si="25"/>
        <v>1.2666666666666666</v>
      </c>
      <c r="CD20" s="42">
        <v>5.41</v>
      </c>
      <c r="CE20" s="3">
        <v>2</v>
      </c>
      <c r="CF20" s="37">
        <f t="shared" si="26"/>
        <v>0.36968576709796674</v>
      </c>
      <c r="CG20" s="3">
        <v>2</v>
      </c>
      <c r="CH20" s="3">
        <v>2</v>
      </c>
      <c r="CI20" s="4" t="s">
        <v>461</v>
      </c>
      <c r="CJ20" s="4"/>
      <c r="CK20" s="6"/>
      <c r="CL20" s="6"/>
      <c r="CM20" s="33" t="str">
        <f t="shared" si="27"/>
        <v/>
      </c>
      <c r="CN20" s="42"/>
      <c r="CO20" s="3"/>
      <c r="CP20" s="37" t="str">
        <f t="shared" si="28"/>
        <v/>
      </c>
      <c r="CQ20" s="3"/>
      <c r="CR20" s="3"/>
      <c r="CS20" s="4" t="s">
        <v>461</v>
      </c>
      <c r="CT20" s="4"/>
      <c r="CU20" s="6"/>
      <c r="CV20" s="6"/>
      <c r="CW20" s="33" t="str">
        <f t="shared" si="29"/>
        <v/>
      </c>
      <c r="CX20" s="42"/>
      <c r="CY20" s="3"/>
      <c r="CZ20" s="37" t="str">
        <f t="shared" si="30"/>
        <v/>
      </c>
      <c r="DA20" s="3"/>
      <c r="DB20" s="3"/>
      <c r="DC20" s="4" t="s">
        <v>461</v>
      </c>
      <c r="DD20" s="4"/>
      <c r="DE20" s="6"/>
      <c r="DF20" s="6"/>
      <c r="DG20" s="33" t="str">
        <f t="shared" si="31"/>
        <v/>
      </c>
      <c r="DH20" s="42"/>
      <c r="DI20" s="3"/>
      <c r="DJ20" s="37" t="str">
        <f t="shared" si="32"/>
        <v/>
      </c>
      <c r="DK20" s="3"/>
      <c r="DL20" s="3"/>
      <c r="DM20" s="4" t="s">
        <v>461</v>
      </c>
      <c r="DN20" s="4"/>
      <c r="DO20" s="6"/>
      <c r="DP20" s="6"/>
      <c r="DQ20" s="33" t="str">
        <f t="shared" si="33"/>
        <v/>
      </c>
      <c r="DR20" s="42"/>
      <c r="DS20" s="3"/>
      <c r="DT20" s="37" t="str">
        <f t="shared" si="34"/>
        <v/>
      </c>
      <c r="DU20" s="3"/>
      <c r="DV20" s="3"/>
      <c r="DW20" s="4"/>
      <c r="DX20" s="4"/>
      <c r="DY20" s="6"/>
      <c r="DZ20" s="6"/>
      <c r="EA20" s="33" t="str">
        <f t="shared" si="35"/>
        <v/>
      </c>
      <c r="EB20" s="42"/>
      <c r="EC20" s="3"/>
      <c r="ED20" s="37" t="str">
        <f t="shared" si="36"/>
        <v/>
      </c>
      <c r="EE20" s="3"/>
      <c r="EF20" s="3"/>
      <c r="EG20" s="4"/>
      <c r="EH20" s="4"/>
      <c r="EI20" s="6"/>
      <c r="EJ20" s="6"/>
      <c r="EK20" s="33" t="str">
        <f t="shared" si="37"/>
        <v/>
      </c>
      <c r="EL20" s="42"/>
      <c r="EM20" s="3"/>
      <c r="EN20" s="37" t="str">
        <f t="shared" si="38"/>
        <v/>
      </c>
      <c r="EO20" s="3"/>
      <c r="EP20" s="3"/>
      <c r="EQ20" s="4"/>
      <c r="ER20" s="4"/>
      <c r="ES20" s="6"/>
      <c r="ET20" s="6"/>
      <c r="EU20" s="33" t="str">
        <f t="shared" si="39"/>
        <v/>
      </c>
      <c r="EV20" s="42"/>
      <c r="EW20" s="3"/>
      <c r="EX20" s="37" t="str">
        <f t="shared" si="40"/>
        <v/>
      </c>
      <c r="EY20" s="3"/>
      <c r="EZ20" s="3"/>
      <c r="FA20" s="4"/>
      <c r="FB20" s="4"/>
      <c r="FC20" s="6"/>
      <c r="FD20" s="6"/>
      <c r="FE20" s="33" t="str">
        <f t="shared" si="41"/>
        <v/>
      </c>
      <c r="FF20" s="42"/>
      <c r="FG20" s="3"/>
      <c r="FH20" s="37" t="str">
        <f t="shared" si="42"/>
        <v/>
      </c>
      <c r="FI20" s="3"/>
      <c r="FJ20" s="3"/>
      <c r="FM20" s="54">
        <f t="shared" si="45"/>
        <v>7.4980000000000002</v>
      </c>
      <c r="FN20" s="54">
        <f t="shared" si="45"/>
        <v>9</v>
      </c>
      <c r="FO20" s="471">
        <f t="shared" si="43"/>
        <v>72.3</v>
      </c>
      <c r="FP20" s="471">
        <f t="shared" si="43"/>
        <v>82</v>
      </c>
      <c r="FR20">
        <f t="shared" si="18"/>
        <v>1.2003200853560949</v>
      </c>
    </row>
    <row r="21" spans="2:174" ht="42" customHeight="1">
      <c r="B21" s="3" t="s">
        <v>581</v>
      </c>
      <c r="C21" s="3" t="s">
        <v>300</v>
      </c>
      <c r="D21" s="4" t="s">
        <v>224</v>
      </c>
      <c r="E21" s="4">
        <v>6</v>
      </c>
      <c r="F21" s="123" t="str">
        <f t="shared" si="1"/>
        <v>○
[P・Q]
○・○</v>
      </c>
      <c r="G21" s="123" t="str">
        <f t="shared" si="2"/>
        <v>×
[P・Q]
○・×</v>
      </c>
      <c r="H21" s="123" t="str">
        <f t="shared" si="46"/>
        <v>×
[P・Q]
○・×</v>
      </c>
      <c r="I21" s="123" t="str">
        <f t="shared" si="47"/>
        <v>×
[P・Q]
○・×</v>
      </c>
      <c r="J21" s="123" t="str">
        <f t="shared" si="48"/>
        <v>×
[P・Q]
○・×</v>
      </c>
      <c r="K21" s="123" t="str">
        <f t="shared" si="4"/>
        <v>○
[P・Q]
○・○</v>
      </c>
      <c r="L21" s="123" t="str">
        <f t="shared" si="5"/>
        <v/>
      </c>
      <c r="M21" s="123" t="str">
        <f t="shared" si="6"/>
        <v/>
      </c>
      <c r="N21" s="123" t="str">
        <f t="shared" si="7"/>
        <v/>
      </c>
      <c r="O21" s="123" t="str">
        <f t="shared" si="8"/>
        <v/>
      </c>
      <c r="P21" s="123" t="str">
        <f t="shared" si="9"/>
        <v/>
      </c>
      <c r="Q21" s="123" t="str">
        <f t="shared" si="10"/>
        <v/>
      </c>
      <c r="R21" s="76">
        <f t="shared" si="11"/>
        <v>1</v>
      </c>
      <c r="S21" s="4">
        <v>5</v>
      </c>
      <c r="T21" s="4">
        <v>5</v>
      </c>
      <c r="U21" s="4">
        <v>5</v>
      </c>
      <c r="V21" s="4">
        <v>5</v>
      </c>
      <c r="W21" s="77">
        <f t="shared" si="12"/>
        <v>37.5</v>
      </c>
      <c r="X21" s="77">
        <f t="shared" si="13"/>
        <v>12.5</v>
      </c>
      <c r="Y21" s="77" cm="1">
        <f t="array" ref="Y21">_xlfn.IFS(R21&gt;=0.8,5,R21&gt;=0.6,3,R21&gt;=0.2,1,R21&lt;0.2,0)</f>
        <v>5</v>
      </c>
      <c r="Z21" s="140">
        <f t="shared" si="44"/>
        <v>75</v>
      </c>
      <c r="AA21" s="234" t="s">
        <v>582</v>
      </c>
      <c r="AB21" s="142" t="s">
        <v>518</v>
      </c>
      <c r="AC21" s="191" t="s">
        <v>226</v>
      </c>
      <c r="AD21" s="5" t="s">
        <v>583</v>
      </c>
      <c r="AE21" s="197" t="s">
        <v>174</v>
      </c>
      <c r="AF21" s="5" t="s">
        <v>584</v>
      </c>
      <c r="AG21" s="5"/>
      <c r="AH21" s="207">
        <f t="shared" si="14"/>
        <v>1.081542473647737</v>
      </c>
      <c r="AI21" s="42">
        <f t="shared" si="15"/>
        <v>11.725249713655403</v>
      </c>
      <c r="AJ21" s="80" t="str">
        <f t="shared" si="16"/>
        <v>HIGH</v>
      </c>
      <c r="AK21" s="80" t="str">
        <f t="shared" si="17"/>
        <v>LOW</v>
      </c>
      <c r="AL21" s="5"/>
      <c r="AM21" s="129"/>
      <c r="AN21" s="126" t="str">
        <f>IF(AND(Z21&gt;Summary!$C$5, Z21&lt;=Summary!$D$5),Summary!$B$5,IF(AND(Z21&gt;Summary!$C$6, Z21&lt;=Summary!$D$6),Summary!$B$6,IF(AND(Z21&gt;Summary!$C$7, Z21&lt;=Summary!$D$7),Summary!$B$7,Summary!$B$8)))</f>
        <v>◎</v>
      </c>
      <c r="AO21" s="14" t="s">
        <v>168</v>
      </c>
      <c r="AP21" s="14"/>
      <c r="AQ21" s="14" t="s">
        <v>168</v>
      </c>
      <c r="AR21" s="14"/>
      <c r="AS21" s="14"/>
      <c r="AT21" s="5" t="s">
        <v>585</v>
      </c>
      <c r="AU21" s="80" t="s">
        <v>586</v>
      </c>
      <c r="AV21" s="4" t="s">
        <v>168</v>
      </c>
      <c r="AW21" s="103">
        <v>30.4</v>
      </c>
      <c r="AX21" s="103">
        <v>39</v>
      </c>
      <c r="AY21" s="33">
        <f t="shared" si="19"/>
        <v>0.77948717948717949</v>
      </c>
      <c r="AZ21" s="42">
        <v>1.1910000000000001</v>
      </c>
      <c r="BA21" s="3">
        <v>8</v>
      </c>
      <c r="BB21" s="37">
        <f t="shared" si="20"/>
        <v>6.7170445004198154</v>
      </c>
      <c r="BC21" s="3">
        <v>8</v>
      </c>
      <c r="BD21" s="3">
        <v>8</v>
      </c>
      <c r="BE21" s="80" t="s">
        <v>587</v>
      </c>
      <c r="BF21" s="4" t="s">
        <v>168</v>
      </c>
      <c r="BG21" s="6">
        <v>15.4</v>
      </c>
      <c r="BH21" s="6">
        <v>16.5</v>
      </c>
      <c r="BI21" s="33">
        <f t="shared" si="21"/>
        <v>0.93333333333333335</v>
      </c>
      <c r="BJ21" s="42">
        <v>0.15</v>
      </c>
      <c r="BK21" s="3">
        <v>3</v>
      </c>
      <c r="BL21" s="37">
        <f>IF(BK21="","",BK21/BJ21)</f>
        <v>20</v>
      </c>
      <c r="BM21" s="3">
        <v>3</v>
      </c>
      <c r="BN21" s="3">
        <v>3</v>
      </c>
      <c r="BO21" s="80" t="s">
        <v>587</v>
      </c>
      <c r="BP21" s="4" t="s">
        <v>168</v>
      </c>
      <c r="BQ21" s="6">
        <v>15.4</v>
      </c>
      <c r="BR21" s="6">
        <v>16.5</v>
      </c>
      <c r="BS21" s="33">
        <f t="shared" si="23"/>
        <v>0.93333333333333335</v>
      </c>
      <c r="BT21" s="42">
        <v>0.15</v>
      </c>
      <c r="BU21" s="3">
        <v>3</v>
      </c>
      <c r="BV21" s="37">
        <f t="shared" si="24"/>
        <v>20</v>
      </c>
      <c r="BW21" s="3">
        <v>3</v>
      </c>
      <c r="BX21" s="3">
        <v>3</v>
      </c>
      <c r="BY21" s="80" t="s">
        <v>588</v>
      </c>
      <c r="BZ21" s="4" t="s">
        <v>168</v>
      </c>
      <c r="CA21" s="6">
        <v>10.5</v>
      </c>
      <c r="CB21" s="6">
        <v>9.5</v>
      </c>
      <c r="CC21" s="33">
        <f t="shared" si="25"/>
        <v>1.1052631578947369</v>
      </c>
      <c r="CD21" s="42">
        <v>0.112</v>
      </c>
      <c r="CE21" s="3">
        <v>1</v>
      </c>
      <c r="CF21" s="37">
        <f t="shared" si="26"/>
        <v>8.9285714285714288</v>
      </c>
      <c r="CG21" s="3">
        <v>1</v>
      </c>
      <c r="CH21" s="3">
        <v>1</v>
      </c>
      <c r="CI21" t="s">
        <v>589</v>
      </c>
      <c r="CJ21" s="4" t="s">
        <v>168</v>
      </c>
      <c r="CK21" s="6">
        <v>10.5</v>
      </c>
      <c r="CL21" s="6">
        <v>7</v>
      </c>
      <c r="CM21" s="33">
        <f t="shared" si="27"/>
        <v>1.5</v>
      </c>
      <c r="CN21" s="42">
        <v>6.8000000000000005E-2</v>
      </c>
      <c r="CO21" s="3">
        <v>1</v>
      </c>
      <c r="CP21" s="37">
        <f t="shared" si="28"/>
        <v>14.705882352941176</v>
      </c>
      <c r="CQ21" s="3">
        <v>1</v>
      </c>
      <c r="CR21" s="3">
        <v>1</v>
      </c>
      <c r="CS21" s="80" t="s">
        <v>590</v>
      </c>
      <c r="CT21" s="4" t="s">
        <v>168</v>
      </c>
      <c r="CU21" s="6">
        <v>22.9</v>
      </c>
      <c r="CV21" s="6">
        <v>18.5</v>
      </c>
      <c r="CW21" s="33">
        <f t="shared" si="29"/>
        <v>1.2378378378378379</v>
      </c>
      <c r="CX21" s="42">
        <v>1.004</v>
      </c>
      <c r="CY21" s="3">
        <v>0</v>
      </c>
      <c r="CZ21" s="37">
        <f t="shared" si="30"/>
        <v>0</v>
      </c>
      <c r="DA21" s="3">
        <v>0</v>
      </c>
      <c r="DB21" s="3">
        <v>0</v>
      </c>
      <c r="DC21" s="4" t="s">
        <v>461</v>
      </c>
      <c r="DD21" s="4"/>
      <c r="DE21" s="6"/>
      <c r="DF21" s="6"/>
      <c r="DG21" s="33" t="str">
        <f t="shared" si="31"/>
        <v/>
      </c>
      <c r="DH21" s="42"/>
      <c r="DI21" s="3"/>
      <c r="DJ21" s="37" t="str">
        <f t="shared" si="32"/>
        <v/>
      </c>
      <c r="DK21" s="3"/>
      <c r="DL21" s="3"/>
      <c r="DM21" s="4" t="s">
        <v>461</v>
      </c>
      <c r="DN21" s="4"/>
      <c r="DO21" s="6"/>
      <c r="DP21" s="6"/>
      <c r="DQ21" s="33" t="str">
        <f t="shared" si="33"/>
        <v/>
      </c>
      <c r="DR21" s="42"/>
      <c r="DS21" s="3"/>
      <c r="DT21" s="37" t="str">
        <f t="shared" si="34"/>
        <v/>
      </c>
      <c r="DU21" s="3"/>
      <c r="DV21" s="3"/>
      <c r="DW21" s="4"/>
      <c r="DX21" s="4"/>
      <c r="DY21" s="6"/>
      <c r="DZ21" s="6"/>
      <c r="EA21" s="33" t="str">
        <f t="shared" si="35"/>
        <v/>
      </c>
      <c r="EB21" s="42"/>
      <c r="EC21" s="3"/>
      <c r="ED21" s="37" t="str">
        <f t="shared" si="36"/>
        <v/>
      </c>
      <c r="EE21" s="3"/>
      <c r="EF21" s="3"/>
      <c r="EG21" s="4"/>
      <c r="EH21" s="4"/>
      <c r="EI21" s="6"/>
      <c r="EJ21" s="6"/>
      <c r="EK21" s="33" t="str">
        <f t="shared" si="37"/>
        <v/>
      </c>
      <c r="EL21" s="42"/>
      <c r="EM21" s="3"/>
      <c r="EN21" s="37" t="str">
        <f t="shared" si="38"/>
        <v/>
      </c>
      <c r="EO21" s="3"/>
      <c r="EP21" s="3"/>
      <c r="EQ21" s="4"/>
      <c r="ER21" s="4"/>
      <c r="ES21" s="6"/>
      <c r="ET21" s="6"/>
      <c r="EU21" s="33" t="str">
        <f t="shared" si="39"/>
        <v/>
      </c>
      <c r="EV21" s="42"/>
      <c r="EW21" s="3"/>
      <c r="EX21" s="37" t="str">
        <f t="shared" si="40"/>
        <v/>
      </c>
      <c r="EY21" s="3"/>
      <c r="EZ21" s="3"/>
      <c r="FA21" s="4"/>
      <c r="FB21" s="4"/>
      <c r="FC21" s="6"/>
      <c r="FD21" s="6"/>
      <c r="FE21" s="33" t="str">
        <f t="shared" si="41"/>
        <v/>
      </c>
      <c r="FF21" s="42"/>
      <c r="FG21" s="3"/>
      <c r="FH21" s="37" t="str">
        <f t="shared" si="42"/>
        <v/>
      </c>
      <c r="FI21" s="3"/>
      <c r="FJ21" s="3"/>
      <c r="FM21" s="54">
        <f t="shared" si="45"/>
        <v>2.6749999999999998</v>
      </c>
      <c r="FN21" s="54">
        <f t="shared" si="45"/>
        <v>16</v>
      </c>
      <c r="FO21" s="471">
        <f t="shared" si="43"/>
        <v>105.1</v>
      </c>
      <c r="FP21" s="471">
        <f t="shared" si="43"/>
        <v>107</v>
      </c>
      <c r="FR21">
        <f t="shared" si="18"/>
        <v>5.9813084112149539</v>
      </c>
    </row>
    <row r="22" spans="2:174" ht="42" customHeight="1">
      <c r="B22" s="3" t="s">
        <v>591</v>
      </c>
      <c r="C22" s="3" t="s">
        <v>223</v>
      </c>
      <c r="D22" s="4" t="s">
        <v>224</v>
      </c>
      <c r="E22" s="4">
        <v>6</v>
      </c>
      <c r="F22" s="123" t="str">
        <f t="shared" si="1"/>
        <v>×
[P・Q]
×・×</v>
      </c>
      <c r="G22" s="123" t="str">
        <f t="shared" si="2"/>
        <v>×
[P・Q]
×・○</v>
      </c>
      <c r="H22" s="123" t="str">
        <f t="shared" si="46"/>
        <v>○
[P・Q]
○・○</v>
      </c>
      <c r="I22" s="123" t="str">
        <f t="shared" si="47"/>
        <v>○
[P・Q]
○・○</v>
      </c>
      <c r="J22" s="123" t="str">
        <f t="shared" si="48"/>
        <v>×
[P・Q]
○・×</v>
      </c>
      <c r="K22" s="123" t="str">
        <f t="shared" si="4"/>
        <v>×
[P・Q]
○・○</v>
      </c>
      <c r="L22" s="123" t="str">
        <f t="shared" si="5"/>
        <v/>
      </c>
      <c r="M22" s="123" t="str">
        <f t="shared" si="6"/>
        <v/>
      </c>
      <c r="N22" s="123" t="str">
        <f t="shared" si="7"/>
        <v/>
      </c>
      <c r="O22" s="123" t="str">
        <f t="shared" si="8"/>
        <v/>
      </c>
      <c r="P22" s="123" t="str">
        <f t="shared" si="9"/>
        <v/>
      </c>
      <c r="Q22" s="123" t="str">
        <f t="shared" si="10"/>
        <v/>
      </c>
      <c r="R22" s="76">
        <f t="shared" si="11"/>
        <v>1</v>
      </c>
      <c r="S22" s="4">
        <v>3</v>
      </c>
      <c r="T22" s="4">
        <v>5</v>
      </c>
      <c r="U22" s="4">
        <v>3</v>
      </c>
      <c r="V22" s="4">
        <v>5</v>
      </c>
      <c r="W22" s="77">
        <f t="shared" si="12"/>
        <v>25</v>
      </c>
      <c r="X22" s="77">
        <f t="shared" si="13"/>
        <v>18.75</v>
      </c>
      <c r="Y22" s="77" cm="1">
        <f t="array" ref="Y22">_xlfn.IFS(R22&gt;=0.8,5,R22&gt;=0.6,3,R22&gt;=0.2,1,R22&lt;0.2,0)</f>
        <v>5</v>
      </c>
      <c r="Z22" s="140">
        <f t="shared" si="44"/>
        <v>64.75</v>
      </c>
      <c r="AA22" s="228" t="s">
        <v>592</v>
      </c>
      <c r="AB22" s="142" t="s">
        <v>593</v>
      </c>
      <c r="AC22" s="80" t="s">
        <v>251</v>
      </c>
      <c r="AD22" s="99" t="s">
        <v>594</v>
      </c>
      <c r="AE22" s="5"/>
      <c r="AF22" s="5" t="s">
        <v>595</v>
      </c>
      <c r="AG22" s="5"/>
      <c r="AH22" s="207">
        <f t="shared" si="14"/>
        <v>0.82446345580750513</v>
      </c>
      <c r="AI22" s="42">
        <f t="shared" si="15"/>
        <v>12.913943078962006</v>
      </c>
      <c r="AJ22" s="80" t="str">
        <f t="shared" si="16"/>
        <v>HIGH</v>
      </c>
      <c r="AK22" s="80" t="str">
        <f t="shared" si="17"/>
        <v>LOW</v>
      </c>
      <c r="AL22" s="244" t="s">
        <v>596</v>
      </c>
      <c r="AM22" s="5" t="s">
        <v>597</v>
      </c>
      <c r="AN22" s="128" t="str">
        <f>IF(AND(Z22&gt;Summary!$C$5, Z22&lt;=Summary!$D$5),Summary!$B$5,IF(AND(Z22&gt;Summary!$C$6, Z22&lt;=Summary!$D$6),Summary!$B$6,IF(AND(Z22&gt;Summary!$C$7, Z22&lt;=Summary!$D$7),Summary!$B$7,Summary!$B$8)))</f>
        <v>○</v>
      </c>
      <c r="AO22" s="14" t="s">
        <v>168</v>
      </c>
      <c r="AP22" s="14"/>
      <c r="AQ22" s="14"/>
      <c r="AR22" s="14" t="s">
        <v>168</v>
      </c>
      <c r="AS22" s="14"/>
      <c r="AT22" s="230" t="s">
        <v>598</v>
      </c>
      <c r="AU22" s="80" t="s">
        <v>599</v>
      </c>
      <c r="AV22" s="4" t="s">
        <v>168</v>
      </c>
      <c r="AW22" s="103">
        <v>13.7</v>
      </c>
      <c r="AX22" s="103">
        <v>34</v>
      </c>
      <c r="AY22" s="33">
        <f t="shared" si="19"/>
        <v>0.40294117647058819</v>
      </c>
      <c r="AZ22" s="42">
        <v>0.187</v>
      </c>
      <c r="BA22" s="3">
        <v>3</v>
      </c>
      <c r="BB22" s="37">
        <f t="shared" si="20"/>
        <v>16.042780748663102</v>
      </c>
      <c r="BC22" s="3">
        <v>3</v>
      </c>
      <c r="BD22" s="3">
        <v>3</v>
      </c>
      <c r="BE22" s="80" t="s">
        <v>600</v>
      </c>
      <c r="BF22" s="4" t="s">
        <v>168</v>
      </c>
      <c r="BG22" s="6">
        <v>19.399999999999999</v>
      </c>
      <c r="BH22" s="6">
        <v>43</v>
      </c>
      <c r="BI22" s="33">
        <f t="shared" si="21"/>
        <v>0.4511627906976744</v>
      </c>
      <c r="BJ22" s="42">
        <v>0.21299999999999999</v>
      </c>
      <c r="BK22" s="3">
        <v>1</v>
      </c>
      <c r="BL22" s="37">
        <f t="shared" si="22"/>
        <v>4.694835680751174</v>
      </c>
      <c r="BM22" s="3">
        <v>1</v>
      </c>
      <c r="BN22" s="3">
        <v>1</v>
      </c>
      <c r="BO22" s="80" t="s">
        <v>601</v>
      </c>
      <c r="BP22" s="4" t="s">
        <v>168</v>
      </c>
      <c r="BQ22" s="6">
        <v>23</v>
      </c>
      <c r="BR22" s="6">
        <v>23</v>
      </c>
      <c r="BS22" s="33">
        <f t="shared" si="23"/>
        <v>1</v>
      </c>
      <c r="BT22" s="42">
        <v>1.302</v>
      </c>
      <c r="BU22" s="3">
        <v>5</v>
      </c>
      <c r="BV22" s="37">
        <f t="shared" si="24"/>
        <v>3.8402457757296466</v>
      </c>
      <c r="BW22" s="3">
        <v>5</v>
      </c>
      <c r="BX22" s="3">
        <v>5</v>
      </c>
      <c r="BY22" s="80" t="s">
        <v>602</v>
      </c>
      <c r="BZ22" s="4" t="s">
        <v>168</v>
      </c>
      <c r="CA22" s="6">
        <v>10.4</v>
      </c>
      <c r="CB22" s="6">
        <v>11</v>
      </c>
      <c r="CC22" s="33">
        <f t="shared" si="25"/>
        <v>0.94545454545454544</v>
      </c>
      <c r="CD22" s="42">
        <v>7.0000000000000007E-2</v>
      </c>
      <c r="CE22" s="3">
        <v>0</v>
      </c>
      <c r="CF22" s="37">
        <f>IF(CE22="","",CE22/CD22)</f>
        <v>0</v>
      </c>
      <c r="CG22" s="3">
        <v>0</v>
      </c>
      <c r="CH22" s="3">
        <v>0</v>
      </c>
      <c r="CI22" s="80" t="s">
        <v>603</v>
      </c>
      <c r="CJ22" s="4" t="s">
        <v>168</v>
      </c>
      <c r="CK22" s="6">
        <v>15.4</v>
      </c>
      <c r="CL22" s="6">
        <v>18</v>
      </c>
      <c r="CM22" s="33">
        <f t="shared" si="27"/>
        <v>0.85555555555555562</v>
      </c>
      <c r="CN22" s="42">
        <v>0.113</v>
      </c>
      <c r="CO22" s="3">
        <v>5</v>
      </c>
      <c r="CP22" s="37">
        <f t="shared" si="28"/>
        <v>44.247787610619469</v>
      </c>
      <c r="CQ22" s="3">
        <v>5</v>
      </c>
      <c r="CR22" s="3">
        <v>5</v>
      </c>
      <c r="CS22" s="80" t="s">
        <v>604</v>
      </c>
      <c r="CT22" s="4" t="s">
        <v>168</v>
      </c>
      <c r="CU22" s="6">
        <v>15.5</v>
      </c>
      <c r="CV22" s="6">
        <v>12</v>
      </c>
      <c r="CW22" s="33">
        <f t="shared" si="29"/>
        <v>1.2916666666666667</v>
      </c>
      <c r="CX22" s="42">
        <v>0.23100000000000001</v>
      </c>
      <c r="CY22" s="3">
        <v>2</v>
      </c>
      <c r="CZ22" s="37">
        <f t="shared" si="30"/>
        <v>8.6580086580086579</v>
      </c>
      <c r="DA22" s="3">
        <v>2</v>
      </c>
      <c r="DB22" s="3">
        <v>2</v>
      </c>
      <c r="DC22" s="4" t="s">
        <v>461</v>
      </c>
      <c r="DD22" s="4"/>
      <c r="DE22" s="6"/>
      <c r="DF22" s="6"/>
      <c r="DG22" s="33" t="str">
        <f t="shared" si="31"/>
        <v/>
      </c>
      <c r="DH22" s="42"/>
      <c r="DI22" s="3"/>
      <c r="DJ22" s="37" t="str">
        <f t="shared" si="32"/>
        <v/>
      </c>
      <c r="DK22" s="3"/>
      <c r="DL22" s="3"/>
      <c r="DM22" s="4" t="s">
        <v>461</v>
      </c>
      <c r="DN22" s="4"/>
      <c r="DO22" s="6"/>
      <c r="DP22" s="6"/>
      <c r="DQ22" s="33" t="str">
        <f t="shared" si="33"/>
        <v/>
      </c>
      <c r="DR22" s="42"/>
      <c r="DS22" s="3"/>
      <c r="DT22" s="37" t="str">
        <f t="shared" si="34"/>
        <v/>
      </c>
      <c r="DU22" s="3"/>
      <c r="DV22" s="3"/>
      <c r="DW22" s="4"/>
      <c r="DX22" s="4"/>
      <c r="DY22" s="6"/>
      <c r="DZ22" s="6"/>
      <c r="EA22" s="33" t="str">
        <f t="shared" si="35"/>
        <v/>
      </c>
      <c r="EB22" s="42"/>
      <c r="EC22" s="3"/>
      <c r="ED22" s="37" t="str">
        <f t="shared" si="36"/>
        <v/>
      </c>
      <c r="EE22" s="3"/>
      <c r="EF22" s="3"/>
      <c r="EG22" s="4"/>
      <c r="EH22" s="4"/>
      <c r="EI22" s="6"/>
      <c r="EJ22" s="6"/>
      <c r="EK22" s="33" t="str">
        <f t="shared" si="37"/>
        <v/>
      </c>
      <c r="EL22" s="42"/>
      <c r="EM22" s="3"/>
      <c r="EN22" s="37" t="str">
        <f t="shared" si="38"/>
        <v/>
      </c>
      <c r="EO22" s="3"/>
      <c r="EP22" s="3"/>
      <c r="EQ22" s="4"/>
      <c r="ER22" s="4"/>
      <c r="ES22" s="6"/>
      <c r="ET22" s="6"/>
      <c r="EU22" s="33" t="str">
        <f t="shared" si="39"/>
        <v/>
      </c>
      <c r="EV22" s="42"/>
      <c r="EW22" s="3"/>
      <c r="EX22" s="37" t="str">
        <f t="shared" si="40"/>
        <v/>
      </c>
      <c r="EY22" s="3"/>
      <c r="EZ22" s="3"/>
      <c r="FA22" s="4"/>
      <c r="FB22" s="4"/>
      <c r="FC22" s="6"/>
      <c r="FD22" s="6"/>
      <c r="FE22" s="33" t="str">
        <f t="shared" si="41"/>
        <v/>
      </c>
      <c r="FF22" s="42"/>
      <c r="FG22" s="3"/>
      <c r="FH22" s="37" t="str">
        <f t="shared" si="42"/>
        <v/>
      </c>
      <c r="FI22" s="3"/>
      <c r="FJ22" s="3"/>
      <c r="FM22" s="54">
        <f t="shared" si="45"/>
        <v>2.1160000000000001</v>
      </c>
      <c r="FN22" s="54">
        <f t="shared" si="45"/>
        <v>16</v>
      </c>
      <c r="FO22" s="471">
        <f t="shared" si="43"/>
        <v>97.399999999999991</v>
      </c>
      <c r="FP22" s="471">
        <f t="shared" si="43"/>
        <v>141</v>
      </c>
      <c r="FR22">
        <f t="shared" si="18"/>
        <v>7.5614366729678633</v>
      </c>
    </row>
    <row r="23" spans="2:174" ht="42" customHeight="1">
      <c r="B23" s="3" t="s">
        <v>605</v>
      </c>
      <c r="C23" s="3" t="s">
        <v>223</v>
      </c>
      <c r="D23" s="4" t="s">
        <v>224</v>
      </c>
      <c r="E23" s="4">
        <v>4</v>
      </c>
      <c r="F23" s="123" t="str">
        <f t="shared" si="1"/>
        <v>×
[P・Q]
×・○</v>
      </c>
      <c r="G23" s="123" t="str">
        <f t="shared" si="2"/>
        <v>×
[P・Q]
×・×</v>
      </c>
      <c r="H23" s="123" t="str">
        <f t="shared" si="46"/>
        <v>×
[P・Q]
○・×</v>
      </c>
      <c r="I23" s="123" t="str">
        <f t="shared" si="47"/>
        <v>×
[P・Q]
○・--</v>
      </c>
      <c r="J23" s="123" t="str">
        <f t="shared" si="48"/>
        <v/>
      </c>
      <c r="K23" s="123" t="str">
        <f t="shared" si="4"/>
        <v/>
      </c>
      <c r="L23" s="123" t="str">
        <f t="shared" si="5"/>
        <v/>
      </c>
      <c r="M23" s="123" t="str">
        <f t="shared" si="6"/>
        <v/>
      </c>
      <c r="N23" s="123" t="str">
        <f t="shared" si="7"/>
        <v/>
      </c>
      <c r="O23" s="123" t="str">
        <f t="shared" si="8"/>
        <v/>
      </c>
      <c r="P23" s="123" t="str">
        <f t="shared" si="9"/>
        <v/>
      </c>
      <c r="Q23" s="123" t="str">
        <f t="shared" si="10"/>
        <v/>
      </c>
      <c r="R23" s="76">
        <f t="shared" si="11"/>
        <v>1</v>
      </c>
      <c r="S23" s="4">
        <v>3</v>
      </c>
      <c r="T23" s="4">
        <v>5</v>
      </c>
      <c r="U23" s="4">
        <v>3</v>
      </c>
      <c r="V23" s="4">
        <v>3</v>
      </c>
      <c r="W23" s="77">
        <f t="shared" si="12"/>
        <v>18.75</v>
      </c>
      <c r="X23" s="77">
        <f t="shared" si="13"/>
        <v>9.375</v>
      </c>
      <c r="Y23" s="77" cm="1">
        <f t="array" ref="Y23">_xlfn.IFS(R23&gt;=0.8,5,R23&gt;=0.6,3,R23&gt;=0.2,1,R23&lt;0.2,0)</f>
        <v>5</v>
      </c>
      <c r="Z23" s="140">
        <f t="shared" si="44"/>
        <v>47.125</v>
      </c>
      <c r="AA23" s="144" t="s">
        <v>606</v>
      </c>
      <c r="AB23" s="195" t="s">
        <v>607</v>
      </c>
      <c r="AC23" s="5"/>
      <c r="AD23" s="129"/>
      <c r="AE23" s="5"/>
      <c r="AF23" s="5"/>
      <c r="AG23" s="5"/>
      <c r="AH23" s="207">
        <f t="shared" si="14"/>
        <v>0.62007252326217843</v>
      </c>
      <c r="AI23" s="42">
        <f t="shared" si="15"/>
        <v>8.3664921106899488</v>
      </c>
      <c r="AJ23" s="80" t="str">
        <f t="shared" si="16"/>
        <v>HIGH</v>
      </c>
      <c r="AK23" s="80" t="str">
        <f t="shared" si="17"/>
        <v>LOW</v>
      </c>
      <c r="AL23" s="5"/>
      <c r="AM23" s="221"/>
      <c r="AN23" s="126" t="str">
        <f>IF(AND(Z23&gt;Summary!$C$5, Z23&lt;=Summary!$D$5),Summary!$B$5,IF(AND(Z23&gt;Summary!$C$6, Z23&lt;=Summary!$D$6),Summary!$B$6,IF(AND(Z23&gt;Summary!$C$7, Z23&lt;=Summary!$D$7),Summary!$B$7,Summary!$B$8)))</f>
        <v>△</v>
      </c>
      <c r="AO23" s="14" t="s">
        <v>168</v>
      </c>
      <c r="AP23" s="14"/>
      <c r="AQ23" s="14" t="s">
        <v>168</v>
      </c>
      <c r="AR23" s="14"/>
      <c r="AS23" s="14"/>
      <c r="AT23" s="29" t="s">
        <v>608</v>
      </c>
      <c r="AU23" s="80" t="s">
        <v>609</v>
      </c>
      <c r="AV23" s="4" t="s">
        <v>168</v>
      </c>
      <c r="AW23" s="103">
        <v>23</v>
      </c>
      <c r="AX23" s="103">
        <v>63</v>
      </c>
      <c r="AY23" s="33">
        <f t="shared" si="19"/>
        <v>0.36507936507936506</v>
      </c>
      <c r="AZ23" s="42">
        <v>0.82699999999999996</v>
      </c>
      <c r="BA23" s="3">
        <v>5</v>
      </c>
      <c r="BB23" s="37">
        <f t="shared" si="20"/>
        <v>6.0459492140266029</v>
      </c>
      <c r="BC23" s="3">
        <v>5</v>
      </c>
      <c r="BD23" s="3">
        <v>5</v>
      </c>
      <c r="BE23" s="80" t="s">
        <v>610</v>
      </c>
      <c r="BF23" s="4" t="s">
        <v>168</v>
      </c>
      <c r="BG23" s="6">
        <v>15.4</v>
      </c>
      <c r="BH23" s="6">
        <v>45</v>
      </c>
      <c r="BI23" s="33">
        <f t="shared" si="21"/>
        <v>0.34222222222222221</v>
      </c>
      <c r="BJ23" s="42">
        <v>9.0999999999999998E-2</v>
      </c>
      <c r="BK23" s="3">
        <v>1</v>
      </c>
      <c r="BL23" s="37">
        <f t="shared" si="22"/>
        <v>10.989010989010989</v>
      </c>
      <c r="BM23" s="3">
        <v>1</v>
      </c>
      <c r="BN23" s="3">
        <v>1</v>
      </c>
      <c r="BO23" s="80" t="s">
        <v>611</v>
      </c>
      <c r="BP23" s="4" t="s">
        <v>168</v>
      </c>
      <c r="BQ23" s="6">
        <v>22.9</v>
      </c>
      <c r="BR23" s="6">
        <v>29</v>
      </c>
      <c r="BS23" s="33">
        <f t="shared" si="23"/>
        <v>0.78965517241379302</v>
      </c>
      <c r="BT23" s="42">
        <v>0.74399999999999999</v>
      </c>
      <c r="BU23" s="3">
        <v>6</v>
      </c>
      <c r="BV23" s="37">
        <f t="shared" si="24"/>
        <v>8.064516129032258</v>
      </c>
      <c r="BW23" s="3">
        <v>6</v>
      </c>
      <c r="BX23" s="3">
        <v>6</v>
      </c>
      <c r="BY23" s="80" t="s">
        <v>612</v>
      </c>
      <c r="BZ23" s="4" t="s">
        <v>168</v>
      </c>
      <c r="CA23" s="6">
        <v>53.1</v>
      </c>
      <c r="CB23" s="6">
        <v>54</v>
      </c>
      <c r="CC23" s="33">
        <f t="shared" si="25"/>
        <v>0.98333333333333339</v>
      </c>
      <c r="CD23" s="42">
        <v>2.8679999999999999</v>
      </c>
      <c r="CE23" s="3"/>
      <c r="CF23" s="37" t="str">
        <f t="shared" si="26"/>
        <v/>
      </c>
      <c r="CG23" s="3"/>
      <c r="CH23" s="3"/>
      <c r="CI23" s="4" t="s">
        <v>461</v>
      </c>
      <c r="CJ23" s="4"/>
      <c r="CK23" s="6"/>
      <c r="CL23" s="6"/>
      <c r="CM23" s="33" t="str">
        <f t="shared" si="27"/>
        <v/>
      </c>
      <c r="CN23" s="42"/>
      <c r="CO23" s="3"/>
      <c r="CP23" s="37" t="str">
        <f t="shared" si="28"/>
        <v/>
      </c>
      <c r="CQ23" s="3"/>
      <c r="CR23" s="3"/>
      <c r="CS23" s="4" t="s">
        <v>461</v>
      </c>
      <c r="CT23" s="4"/>
      <c r="CU23" s="6"/>
      <c r="CV23" s="6"/>
      <c r="CW23" s="33" t="str">
        <f t="shared" si="29"/>
        <v/>
      </c>
      <c r="CX23" s="42"/>
      <c r="CY23" s="3"/>
      <c r="CZ23" s="37" t="str">
        <f t="shared" si="30"/>
        <v/>
      </c>
      <c r="DA23" s="3"/>
      <c r="DB23" s="3"/>
      <c r="DC23" s="4" t="s">
        <v>461</v>
      </c>
      <c r="DD23" s="4"/>
      <c r="DE23" s="6"/>
      <c r="DF23" s="6"/>
      <c r="DG23" s="33" t="str">
        <f t="shared" si="31"/>
        <v/>
      </c>
      <c r="DH23" s="42"/>
      <c r="DI23" s="3"/>
      <c r="DJ23" s="37" t="str">
        <f t="shared" si="32"/>
        <v/>
      </c>
      <c r="DK23" s="3"/>
      <c r="DL23" s="3"/>
      <c r="DM23" s="4" t="s">
        <v>461</v>
      </c>
      <c r="DN23" s="4"/>
      <c r="DO23" s="6"/>
      <c r="DP23" s="6"/>
      <c r="DQ23" s="33" t="str">
        <f t="shared" si="33"/>
        <v/>
      </c>
      <c r="DR23" s="42"/>
      <c r="DS23" s="3"/>
      <c r="DT23" s="37" t="str">
        <f t="shared" si="34"/>
        <v/>
      </c>
      <c r="DU23" s="3"/>
      <c r="DV23" s="3"/>
      <c r="DW23" s="4"/>
      <c r="DX23" s="4"/>
      <c r="DY23" s="6"/>
      <c r="DZ23" s="6"/>
      <c r="EA23" s="33" t="str">
        <f t="shared" si="35"/>
        <v/>
      </c>
      <c r="EB23" s="42"/>
      <c r="EC23" s="3"/>
      <c r="ED23" s="37" t="str">
        <f t="shared" si="36"/>
        <v/>
      </c>
      <c r="EE23" s="3"/>
      <c r="EF23" s="3"/>
      <c r="EG23" s="4"/>
      <c r="EH23" s="4"/>
      <c r="EI23" s="6"/>
      <c r="EJ23" s="6"/>
      <c r="EK23" s="33" t="str">
        <f t="shared" si="37"/>
        <v/>
      </c>
      <c r="EL23" s="42"/>
      <c r="EM23" s="3"/>
      <c r="EN23" s="37" t="str">
        <f t="shared" si="38"/>
        <v/>
      </c>
      <c r="EO23" s="3"/>
      <c r="EP23" s="3"/>
      <c r="EQ23" s="4"/>
      <c r="ER23" s="4"/>
      <c r="ES23" s="6"/>
      <c r="ET23" s="6"/>
      <c r="EU23" s="33" t="str">
        <f t="shared" si="39"/>
        <v/>
      </c>
      <c r="EV23" s="42"/>
      <c r="EW23" s="3"/>
      <c r="EX23" s="37" t="str">
        <f t="shared" si="40"/>
        <v/>
      </c>
      <c r="EY23" s="3"/>
      <c r="EZ23" s="3"/>
      <c r="FA23" s="4"/>
      <c r="FB23" s="4"/>
      <c r="FC23" s="6"/>
      <c r="FD23" s="6"/>
      <c r="FE23" s="33" t="str">
        <f t="shared" si="41"/>
        <v/>
      </c>
      <c r="FF23" s="42"/>
      <c r="FG23" s="3"/>
      <c r="FH23" s="37" t="str">
        <f t="shared" si="42"/>
        <v/>
      </c>
      <c r="FI23" s="3"/>
      <c r="FJ23" s="3"/>
      <c r="FM23" s="54">
        <f t="shared" si="45"/>
        <v>4.53</v>
      </c>
      <c r="FN23" s="54">
        <f t="shared" si="45"/>
        <v>12</v>
      </c>
      <c r="FO23" s="471">
        <f t="shared" si="43"/>
        <v>114.4</v>
      </c>
      <c r="FP23" s="471">
        <f t="shared" si="43"/>
        <v>191</v>
      </c>
      <c r="FR23">
        <f t="shared" si="18"/>
        <v>2.6490066225165561</v>
      </c>
    </row>
    <row r="24" spans="2:174" ht="177.75" customHeight="1">
      <c r="B24" s="3" t="s">
        <v>613</v>
      </c>
      <c r="C24" s="3" t="s">
        <v>287</v>
      </c>
      <c r="D24" s="4" t="s">
        <v>224</v>
      </c>
      <c r="E24" s="4">
        <v>8</v>
      </c>
      <c r="F24" s="123" t="str">
        <f t="shared" si="1"/>
        <v>×
[P・Q]
○・×</v>
      </c>
      <c r="G24" s="123" t="str">
        <f t="shared" si="2"/>
        <v>×
[P・Q]
×・×</v>
      </c>
      <c r="H24" s="123" t="str">
        <f t="shared" si="46"/>
        <v>×
[P・Q]
×・○</v>
      </c>
      <c r="I24" s="123" t="str">
        <f t="shared" si="47"/>
        <v>×
[P・Q]
×・○</v>
      </c>
      <c r="J24" s="123" t="str">
        <f t="shared" si="48"/>
        <v>×
[P・Q]
×・×</v>
      </c>
      <c r="K24" s="123" t="str">
        <f t="shared" si="4"/>
        <v>○
[P・Q]
○・○</v>
      </c>
      <c r="L24" s="123" t="str">
        <f t="shared" si="5"/>
        <v>×
[P・Q]
--・--</v>
      </c>
      <c r="M24" s="123" t="str">
        <f t="shared" si="6"/>
        <v>×
[P・Q]
○・×</v>
      </c>
      <c r="N24" s="123" t="str">
        <f t="shared" si="7"/>
        <v/>
      </c>
      <c r="O24" s="123" t="str">
        <f t="shared" si="8"/>
        <v/>
      </c>
      <c r="P24" s="123" t="str">
        <f t="shared" si="9"/>
        <v/>
      </c>
      <c r="Q24" s="123" t="str">
        <f t="shared" si="10"/>
        <v/>
      </c>
      <c r="R24" s="76">
        <f t="shared" si="11"/>
        <v>1</v>
      </c>
      <c r="S24" s="4">
        <v>3</v>
      </c>
      <c r="T24" s="4">
        <v>5</v>
      </c>
      <c r="U24" s="4">
        <v>3</v>
      </c>
      <c r="V24" s="4">
        <v>3</v>
      </c>
      <c r="W24" s="77">
        <f t="shared" si="12"/>
        <v>14.0625</v>
      </c>
      <c r="X24" s="77">
        <f t="shared" si="13"/>
        <v>14.0625</v>
      </c>
      <c r="Y24" s="77" cm="1">
        <f t="array" ref="Y24">_xlfn.IFS(R24&gt;=0.8,5,R24&gt;=0.6,3,R24&gt;=0.2,1,R24&lt;0.2,0)</f>
        <v>5</v>
      </c>
      <c r="Z24" s="140">
        <f t="shared" si="44"/>
        <v>47.125</v>
      </c>
      <c r="AA24" s="199" t="s">
        <v>614</v>
      </c>
      <c r="AB24" s="5" t="s">
        <v>615</v>
      </c>
      <c r="AC24" s="186" t="s">
        <v>226</v>
      </c>
      <c r="AD24" s="5" t="s">
        <v>616</v>
      </c>
      <c r="AE24" s="142"/>
      <c r="AF24" s="5" t="s">
        <v>617</v>
      </c>
      <c r="AG24" s="310">
        <f>TaskEndDay!H36</f>
        <v>1</v>
      </c>
      <c r="AH24" s="207">
        <f>IFERROR(AVERAGE(AY24,BI24,BS24,CC24,CM24,CW24,DG24,DQ24,EA24,EK24)," ")</f>
        <v>0.6690025571632161</v>
      </c>
      <c r="AI24" s="42">
        <f>IFERROR(AVERAGE(BB24,BL24,BV24,CF24,CP24,CZ24,DJ24,DT24,ED24,EN24)," ")</f>
        <v>12.434512434512436</v>
      </c>
      <c r="AJ24" s="80" t="str">
        <f t="shared" si="16"/>
        <v>HIGH</v>
      </c>
      <c r="AK24" s="80" t="str">
        <f t="shared" si="17"/>
        <v>LOW</v>
      </c>
      <c r="AL24" s="316" t="s">
        <v>618</v>
      </c>
      <c r="AM24" s="5" t="s">
        <v>619</v>
      </c>
      <c r="AN24" s="128" t="str">
        <f>IF(AND(Z24&gt;Summary!$C$5, Z24&lt;=Summary!$D$5),Summary!$B$5,IF(AND(Z24&gt;Summary!$C$6, Z24&lt;=Summary!$D$6),Summary!$B$6,IF(AND(Z24&gt;Summary!$C$7, Z24&lt;=Summary!$D$7),Summary!$B$7,Summary!$B$8)))</f>
        <v>△</v>
      </c>
      <c r="AO24" s="14" t="s">
        <v>168</v>
      </c>
      <c r="AP24" s="14"/>
      <c r="AQ24" s="14"/>
      <c r="AR24" s="14"/>
      <c r="AS24" s="14" t="s">
        <v>168</v>
      </c>
      <c r="AT24" t="s">
        <v>620</v>
      </c>
      <c r="AU24" s="80" t="s">
        <v>621</v>
      </c>
      <c r="AV24" s="4" t="s">
        <v>168</v>
      </c>
      <c r="AW24" s="103">
        <v>15.4</v>
      </c>
      <c r="AX24" s="103">
        <v>17</v>
      </c>
      <c r="AY24" s="33">
        <f t="shared" si="19"/>
        <v>0.90588235294117647</v>
      </c>
      <c r="AZ24" s="42">
        <v>0.111</v>
      </c>
      <c r="BA24" s="3">
        <v>2</v>
      </c>
      <c r="BB24" s="37">
        <f t="shared" si="20"/>
        <v>18.018018018018019</v>
      </c>
      <c r="BC24" s="3">
        <v>2</v>
      </c>
      <c r="BD24" s="3">
        <v>2</v>
      </c>
      <c r="BE24" s="80" t="s">
        <v>622</v>
      </c>
      <c r="BF24" s="4" t="s">
        <v>168</v>
      </c>
      <c r="BG24" s="6">
        <v>10.5</v>
      </c>
      <c r="BH24" s="6">
        <v>22</v>
      </c>
      <c r="BI24" s="33">
        <f t="shared" si="21"/>
        <v>0.47727272727272729</v>
      </c>
      <c r="BJ24" s="42">
        <v>0.13200000000000001</v>
      </c>
      <c r="BK24" s="3">
        <v>3</v>
      </c>
      <c r="BL24" s="37">
        <f t="shared" si="22"/>
        <v>22.727272727272727</v>
      </c>
      <c r="BM24" s="3">
        <v>3</v>
      </c>
      <c r="BN24" s="3">
        <v>3</v>
      </c>
      <c r="BO24" s="80" t="s">
        <v>623</v>
      </c>
      <c r="BP24" s="4" t="s">
        <v>168</v>
      </c>
      <c r="BQ24" s="6">
        <v>22.7</v>
      </c>
      <c r="BR24" s="6">
        <v>42</v>
      </c>
      <c r="BS24" s="33">
        <f t="shared" si="23"/>
        <v>0.54047619047619044</v>
      </c>
      <c r="BT24" s="42">
        <v>1.3979999999999999</v>
      </c>
      <c r="BU24" s="3">
        <v>0</v>
      </c>
      <c r="BV24" s="37">
        <f t="shared" si="24"/>
        <v>0</v>
      </c>
      <c r="BW24" s="3">
        <v>0</v>
      </c>
      <c r="BX24" s="3">
        <v>0</v>
      </c>
      <c r="BY24" s="80" t="s">
        <v>624</v>
      </c>
      <c r="BZ24" s="4" t="s">
        <v>168</v>
      </c>
      <c r="CA24" s="6">
        <v>15.6</v>
      </c>
      <c r="CB24" s="6">
        <v>27</v>
      </c>
      <c r="CC24" s="33">
        <f t="shared" si="25"/>
        <v>0.57777777777777772</v>
      </c>
      <c r="CD24" s="42">
        <v>0.57299999999999995</v>
      </c>
      <c r="CE24" s="3">
        <v>0</v>
      </c>
      <c r="CF24" s="37">
        <f t="shared" si="26"/>
        <v>0</v>
      </c>
      <c r="CG24" s="3">
        <v>0</v>
      </c>
      <c r="CH24" s="3">
        <v>0</v>
      </c>
      <c r="CI24" s="80" t="s">
        <v>625</v>
      </c>
      <c r="CJ24" s="4" t="s">
        <v>168</v>
      </c>
      <c r="CK24" s="6">
        <v>10.5</v>
      </c>
      <c r="CL24" s="6">
        <v>19</v>
      </c>
      <c r="CM24" s="33">
        <f t="shared" si="27"/>
        <v>0.55263157894736847</v>
      </c>
      <c r="CN24" s="42">
        <v>0.108</v>
      </c>
      <c r="CO24" s="3">
        <v>3</v>
      </c>
      <c r="CP24" s="37">
        <f>IF(CO24="","",CO24/CN24)</f>
        <v>27.777777777777779</v>
      </c>
      <c r="CQ24" s="3">
        <v>3</v>
      </c>
      <c r="CR24" s="3">
        <v>3</v>
      </c>
      <c r="CS24" s="80" t="s">
        <v>626</v>
      </c>
      <c r="CT24" s="4" t="s">
        <v>168</v>
      </c>
      <c r="CU24" s="6">
        <v>10.7</v>
      </c>
      <c r="CV24" s="6">
        <v>11</v>
      </c>
      <c r="CW24" s="33">
        <f t="shared" si="29"/>
        <v>0.97272727272727266</v>
      </c>
      <c r="CX24" s="42">
        <v>0.28699999999999998</v>
      </c>
      <c r="CY24" s="3">
        <v>0</v>
      </c>
      <c r="CZ24" s="37">
        <f t="shared" si="30"/>
        <v>0</v>
      </c>
      <c r="DA24" s="3">
        <v>0</v>
      </c>
      <c r="DB24" s="3">
        <v>0</v>
      </c>
      <c r="DC24" s="80" t="s">
        <v>627</v>
      </c>
      <c r="DD24" s="4" t="s">
        <v>168</v>
      </c>
      <c r="DE24" s="6">
        <v>10.4</v>
      </c>
      <c r="DF24" s="6"/>
      <c r="DG24" s="33" t="str">
        <f t="shared" si="31"/>
        <v/>
      </c>
      <c r="DH24" s="42"/>
      <c r="DI24" s="3"/>
      <c r="DJ24" s="37" t="str">
        <f t="shared" si="32"/>
        <v/>
      </c>
      <c r="DK24" s="3"/>
      <c r="DL24" s="3"/>
      <c r="DM24" s="80" t="s">
        <v>628</v>
      </c>
      <c r="DN24" s="4" t="s">
        <v>168</v>
      </c>
      <c r="DO24" s="6">
        <v>10.5</v>
      </c>
      <c r="DP24" s="6">
        <v>16</v>
      </c>
      <c r="DQ24" s="33">
        <f t="shared" si="33"/>
        <v>0.65625</v>
      </c>
      <c r="DR24" s="42">
        <v>0.16200000000000001</v>
      </c>
      <c r="DS24" s="3">
        <v>3</v>
      </c>
      <c r="DT24" s="37">
        <f t="shared" si="34"/>
        <v>18.518518518518519</v>
      </c>
      <c r="DU24" s="3">
        <v>3</v>
      </c>
      <c r="DV24" s="3">
        <v>3</v>
      </c>
      <c r="DW24" s="4"/>
      <c r="DX24" s="4"/>
      <c r="DY24" s="6"/>
      <c r="DZ24" s="6"/>
      <c r="EA24" s="33" t="str">
        <f t="shared" si="35"/>
        <v/>
      </c>
      <c r="EB24" s="42"/>
      <c r="EC24" s="3"/>
      <c r="ED24" s="37" t="str">
        <f t="shared" si="36"/>
        <v/>
      </c>
      <c r="EE24" s="3"/>
      <c r="EF24" s="3"/>
      <c r="EG24" s="4"/>
      <c r="EH24" s="4"/>
      <c r="EI24" s="6"/>
      <c r="EJ24" s="6"/>
      <c r="EK24" s="33" t="str">
        <f t="shared" si="37"/>
        <v/>
      </c>
      <c r="EL24" s="42"/>
      <c r="EM24" s="3"/>
      <c r="EN24" s="37" t="str">
        <f t="shared" si="38"/>
        <v/>
      </c>
      <c r="EO24" s="3"/>
      <c r="EP24" s="3"/>
      <c r="EQ24" s="4"/>
      <c r="ER24" s="4"/>
      <c r="ES24" s="6"/>
      <c r="ET24" s="6"/>
      <c r="EU24" s="33" t="str">
        <f t="shared" si="39"/>
        <v/>
      </c>
      <c r="EV24" s="42"/>
      <c r="EW24" s="3"/>
      <c r="EX24" s="37" t="str">
        <f t="shared" si="40"/>
        <v/>
      </c>
      <c r="EY24" s="3"/>
      <c r="EZ24" s="3"/>
      <c r="FA24" s="4"/>
      <c r="FB24" s="4"/>
      <c r="FC24" s="6"/>
      <c r="FD24" s="6"/>
      <c r="FE24" s="33" t="str">
        <f t="shared" si="41"/>
        <v/>
      </c>
      <c r="FF24" s="42"/>
      <c r="FG24" s="3"/>
      <c r="FH24" s="37" t="str">
        <f t="shared" si="42"/>
        <v/>
      </c>
      <c r="FI24" s="3"/>
      <c r="FJ24" s="3"/>
      <c r="FM24" s="54">
        <f t="shared" si="45"/>
        <v>2.7709999999999999</v>
      </c>
      <c r="FN24" s="54">
        <f t="shared" si="45"/>
        <v>11</v>
      </c>
      <c r="FO24" s="471">
        <f t="shared" si="43"/>
        <v>106.3</v>
      </c>
      <c r="FP24" s="471">
        <f t="shared" si="43"/>
        <v>154</v>
      </c>
      <c r="FR24">
        <f t="shared" si="18"/>
        <v>3.9696860339227715</v>
      </c>
    </row>
    <row r="25" spans="2:174" ht="42" customHeight="1">
      <c r="B25" s="3" t="s">
        <v>629</v>
      </c>
      <c r="C25" s="3" t="s">
        <v>223</v>
      </c>
      <c r="D25" s="4" t="s">
        <v>313</v>
      </c>
      <c r="E25" s="4">
        <v>5</v>
      </c>
      <c r="F25" s="123" t="str">
        <f t="shared" si="1"/>
        <v>×
[P・Q]
×・×</v>
      </c>
      <c r="G25" s="123" t="str">
        <f t="shared" si="2"/>
        <v>○
[P・Q]
○・○</v>
      </c>
      <c r="H25" s="123" t="str">
        <f t="shared" si="46"/>
        <v>×
[P・Q]
○・×</v>
      </c>
      <c r="I25" s="123" t="str">
        <f t="shared" si="47"/>
        <v>○
[P・Q]
○・○</v>
      </c>
      <c r="J25" s="123" t="str">
        <f t="shared" si="48"/>
        <v>○
[P・Q]
○・○</v>
      </c>
      <c r="K25" s="123" t="str">
        <f t="shared" si="4"/>
        <v/>
      </c>
      <c r="L25" s="123" t="str">
        <f t="shared" si="5"/>
        <v/>
      </c>
      <c r="M25" s="123" t="str">
        <f t="shared" si="6"/>
        <v/>
      </c>
      <c r="N25" s="123" t="str">
        <f t="shared" si="7"/>
        <v/>
      </c>
      <c r="O25" s="123" t="str">
        <f t="shared" si="8"/>
        <v/>
      </c>
      <c r="P25" s="123" t="str">
        <f t="shared" si="9"/>
        <v/>
      </c>
      <c r="Q25" s="123" t="str">
        <f t="shared" si="10"/>
        <v/>
      </c>
      <c r="R25" s="76">
        <f t="shared" si="11"/>
        <v>1</v>
      </c>
      <c r="S25" s="4">
        <v>5</v>
      </c>
      <c r="T25" s="4">
        <v>5</v>
      </c>
      <c r="U25" s="4">
        <v>5</v>
      </c>
      <c r="V25" s="4">
        <v>5</v>
      </c>
      <c r="W25" s="77">
        <f t="shared" si="12"/>
        <v>30</v>
      </c>
      <c r="X25" s="77">
        <f t="shared" si="13"/>
        <v>22.5</v>
      </c>
      <c r="Y25" s="77" cm="1">
        <f t="array" ref="Y25">_xlfn.IFS(R25&gt;=0.8,5,R25&gt;=0.6,3,R25&gt;=0.2,1,R25&lt;0.2,0)</f>
        <v>5</v>
      </c>
      <c r="Z25" s="140">
        <f t="shared" si="44"/>
        <v>77.5</v>
      </c>
      <c r="AA25" s="322" t="s">
        <v>630</v>
      </c>
      <c r="AB25" s="242" t="s">
        <v>631</v>
      </c>
      <c r="AC25" s="191" t="s">
        <v>226</v>
      </c>
      <c r="AD25" s="221" t="s">
        <v>632</v>
      </c>
      <c r="AE25" s="197" t="s">
        <v>174</v>
      </c>
      <c r="AF25" s="5" t="s">
        <v>633</v>
      </c>
      <c r="AG25" s="5"/>
      <c r="AH25" s="207">
        <f t="shared" si="14"/>
        <v>1.0515900786844183</v>
      </c>
      <c r="AI25" s="42">
        <f t="shared" si="15"/>
        <v>7.449513336883288</v>
      </c>
      <c r="AJ25" s="80" t="str">
        <f t="shared" si="16"/>
        <v>HIGH</v>
      </c>
      <c r="AK25" s="80" t="str">
        <f t="shared" si="17"/>
        <v>HIGH</v>
      </c>
      <c r="AL25" s="129"/>
      <c r="AM25" s="221"/>
      <c r="AN25" s="126" t="str">
        <f>IF(AND(Z25&gt;Summary!$C$5, Z25&lt;=Summary!$D$5),Summary!$B$5,IF(AND(Z25&gt;Summary!$C$6, Z25&lt;=Summary!$D$6),Summary!$B$6,IF(AND(Z25&gt;Summary!$C$7, Z25&lt;=Summary!$D$7),Summary!$B$7,Summary!$B$8)))</f>
        <v>◎</v>
      </c>
      <c r="AO25" s="14" t="s">
        <v>168</v>
      </c>
      <c r="AP25" s="14"/>
      <c r="AQ25" s="14" t="s">
        <v>168</v>
      </c>
      <c r="AR25" s="14"/>
      <c r="AS25" s="14"/>
      <c r="AT25" s="5" t="s">
        <v>231</v>
      </c>
      <c r="AU25" s="80" t="s">
        <v>634</v>
      </c>
      <c r="AV25" s="4" t="s">
        <v>168</v>
      </c>
      <c r="AW25" s="103">
        <v>15.5</v>
      </c>
      <c r="AX25" s="103">
        <v>26.5</v>
      </c>
      <c r="AY25" s="33">
        <f t="shared" si="19"/>
        <v>0.58490566037735847</v>
      </c>
      <c r="AZ25" s="42">
        <v>0.157</v>
      </c>
      <c r="BA25" s="3">
        <v>3</v>
      </c>
      <c r="BB25" s="37">
        <f t="shared" si="20"/>
        <v>19.108280254777071</v>
      </c>
      <c r="BC25" s="3">
        <v>3</v>
      </c>
      <c r="BD25" s="3">
        <v>3</v>
      </c>
      <c r="BE25" s="80" t="s">
        <v>635</v>
      </c>
      <c r="BF25" s="4" t="s">
        <v>168</v>
      </c>
      <c r="BG25" s="6">
        <v>22.6</v>
      </c>
      <c r="BH25" s="6">
        <v>17.5</v>
      </c>
      <c r="BI25" s="33">
        <f t="shared" si="21"/>
        <v>1.2914285714285716</v>
      </c>
      <c r="BJ25" s="42">
        <v>0.53500000000000003</v>
      </c>
      <c r="BK25" s="3">
        <v>3</v>
      </c>
      <c r="BL25" s="37">
        <f t="shared" si="22"/>
        <v>5.6074766355140184</v>
      </c>
      <c r="BM25" s="3">
        <v>3</v>
      </c>
      <c r="BN25" s="3">
        <v>3</v>
      </c>
      <c r="BO25" s="80" t="s">
        <v>636</v>
      </c>
      <c r="BP25" s="4" t="s">
        <v>168</v>
      </c>
      <c r="BQ25" s="6">
        <v>15.6</v>
      </c>
      <c r="BR25" s="6">
        <v>13.5</v>
      </c>
      <c r="BS25" s="33">
        <f t="shared" si="23"/>
        <v>1.1555555555555554</v>
      </c>
      <c r="BT25" s="42">
        <v>0.45100000000000001</v>
      </c>
      <c r="BU25" s="3">
        <v>5</v>
      </c>
      <c r="BV25" s="37">
        <f t="shared" si="24"/>
        <v>11.086474501108647</v>
      </c>
      <c r="BW25" s="3">
        <v>5</v>
      </c>
      <c r="BX25" s="3">
        <v>5</v>
      </c>
      <c r="BY25" s="80" t="s">
        <v>637</v>
      </c>
      <c r="BZ25" s="4" t="s">
        <v>168</v>
      </c>
      <c r="CA25" s="6">
        <v>22.9</v>
      </c>
      <c r="CB25" s="6">
        <v>27.5</v>
      </c>
      <c r="CC25" s="33">
        <f t="shared" si="25"/>
        <v>0.83272727272727265</v>
      </c>
      <c r="CD25" s="42">
        <v>4.992</v>
      </c>
      <c r="CE25" s="3">
        <v>4</v>
      </c>
      <c r="CF25" s="37">
        <f t="shared" si="26"/>
        <v>0.80128205128205132</v>
      </c>
      <c r="CG25" s="3">
        <v>4</v>
      </c>
      <c r="CH25" s="3">
        <v>4</v>
      </c>
      <c r="CI25" s="80" t="s">
        <v>638</v>
      </c>
      <c r="CJ25" s="4" t="s">
        <v>168</v>
      </c>
      <c r="CK25" s="6">
        <v>41.8</v>
      </c>
      <c r="CL25" s="6">
        <v>30</v>
      </c>
      <c r="CM25" s="33">
        <f t="shared" si="27"/>
        <v>1.3933333333333333</v>
      </c>
      <c r="CN25" s="42">
        <v>4.6580000000000004</v>
      </c>
      <c r="CO25" s="3">
        <v>3</v>
      </c>
      <c r="CP25" s="37">
        <f t="shared" si="28"/>
        <v>0.64405324173465006</v>
      </c>
      <c r="CQ25" s="3">
        <v>3</v>
      </c>
      <c r="CR25" s="3">
        <v>3</v>
      </c>
      <c r="CS25" s="4" t="s">
        <v>461</v>
      </c>
      <c r="CT25" s="4"/>
      <c r="CU25" s="6"/>
      <c r="CV25" s="6"/>
      <c r="CW25" s="33" t="str">
        <f t="shared" si="29"/>
        <v/>
      </c>
      <c r="CX25" s="42"/>
      <c r="CY25" s="3"/>
      <c r="CZ25" s="37" t="str">
        <f t="shared" si="30"/>
        <v/>
      </c>
      <c r="DA25" s="3"/>
      <c r="DB25" s="3"/>
      <c r="DC25" s="4" t="s">
        <v>461</v>
      </c>
      <c r="DD25" s="4"/>
      <c r="DE25" s="6"/>
      <c r="DF25" s="6"/>
      <c r="DG25" s="33" t="str">
        <f t="shared" si="31"/>
        <v/>
      </c>
      <c r="DH25" s="42"/>
      <c r="DI25" s="3"/>
      <c r="DJ25" s="37" t="str">
        <f t="shared" si="32"/>
        <v/>
      </c>
      <c r="DK25" s="3"/>
      <c r="DL25" s="3"/>
      <c r="DM25" s="4" t="s">
        <v>461</v>
      </c>
      <c r="DN25" s="4"/>
      <c r="DO25" s="6"/>
      <c r="DP25" s="6"/>
      <c r="DQ25" s="33" t="str">
        <f t="shared" si="33"/>
        <v/>
      </c>
      <c r="DR25" s="42"/>
      <c r="DS25" s="3"/>
      <c r="DT25" s="37" t="str">
        <f t="shared" si="34"/>
        <v/>
      </c>
      <c r="DU25" s="3"/>
      <c r="DV25" s="3"/>
      <c r="DW25" s="4"/>
      <c r="DX25" s="4"/>
      <c r="DY25" s="6"/>
      <c r="DZ25" s="6"/>
      <c r="EA25" s="33" t="str">
        <f t="shared" si="35"/>
        <v/>
      </c>
      <c r="EB25" s="42"/>
      <c r="EC25" s="3"/>
      <c r="ED25" s="37" t="str">
        <f t="shared" si="36"/>
        <v/>
      </c>
      <c r="EE25" s="3"/>
      <c r="EF25" s="3"/>
      <c r="EG25" s="4"/>
      <c r="EH25" s="4"/>
      <c r="EI25" s="6"/>
      <c r="EJ25" s="6"/>
      <c r="EK25" s="33" t="str">
        <f t="shared" si="37"/>
        <v/>
      </c>
      <c r="EL25" s="42"/>
      <c r="EM25" s="3"/>
      <c r="EN25" s="37" t="str">
        <f t="shared" si="38"/>
        <v/>
      </c>
      <c r="EO25" s="3"/>
      <c r="EP25" s="3"/>
      <c r="EQ25" s="4"/>
      <c r="ER25" s="4"/>
      <c r="ES25" s="6"/>
      <c r="ET25" s="6"/>
      <c r="EU25" s="33" t="str">
        <f t="shared" si="39"/>
        <v/>
      </c>
      <c r="EV25" s="42"/>
      <c r="EW25" s="3"/>
      <c r="EX25" s="37" t="str">
        <f t="shared" si="40"/>
        <v/>
      </c>
      <c r="EY25" s="3"/>
      <c r="EZ25" s="3"/>
      <c r="FA25" s="4"/>
      <c r="FB25" s="4"/>
      <c r="FC25" s="6"/>
      <c r="FD25" s="6"/>
      <c r="FE25" s="33" t="str">
        <f t="shared" si="41"/>
        <v/>
      </c>
      <c r="FF25" s="42"/>
      <c r="FG25" s="3"/>
      <c r="FH25" s="37" t="str">
        <f t="shared" si="42"/>
        <v/>
      </c>
      <c r="FI25" s="3"/>
      <c r="FJ25" s="3"/>
      <c r="FM25" s="54">
        <f t="shared" si="45"/>
        <v>10.793000000000001</v>
      </c>
      <c r="FN25" s="54">
        <f t="shared" si="45"/>
        <v>18</v>
      </c>
      <c r="FO25" s="471">
        <f t="shared" si="43"/>
        <v>118.39999999999998</v>
      </c>
      <c r="FP25" s="471">
        <f t="shared" si="43"/>
        <v>115</v>
      </c>
      <c r="FR25">
        <f t="shared" si="18"/>
        <v>1.667747614194385</v>
      </c>
    </row>
    <row r="26" spans="2:174" ht="189" customHeight="1">
      <c r="B26" s="27" t="s">
        <v>639</v>
      </c>
      <c r="C26" s="27" t="s">
        <v>384</v>
      </c>
      <c r="D26" s="28" t="s">
        <v>224</v>
      </c>
      <c r="E26" s="4">
        <v>4</v>
      </c>
      <c r="F26" s="123" t="str">
        <f t="shared" si="1"/>
        <v>×
[P・Q]
×・×</v>
      </c>
      <c r="G26" s="123" t="str">
        <f t="shared" si="2"/>
        <v>×
[P・Q]
×・×</v>
      </c>
      <c r="H26" s="123" t="str">
        <f t="shared" si="46"/>
        <v>×
[P・Q]
×・○</v>
      </c>
      <c r="I26" s="123" t="str">
        <f t="shared" si="47"/>
        <v>○
[P・Q]
○・○</v>
      </c>
      <c r="J26" s="123" t="str">
        <f t="shared" si="48"/>
        <v/>
      </c>
      <c r="K26" s="123" t="str">
        <f t="shared" si="4"/>
        <v/>
      </c>
      <c r="L26" s="123" t="str">
        <f t="shared" si="5"/>
        <v/>
      </c>
      <c r="M26" s="123" t="str">
        <f t="shared" si="6"/>
        <v/>
      </c>
      <c r="N26" s="123" t="str">
        <f t="shared" si="7"/>
        <v/>
      </c>
      <c r="O26" s="123" t="str">
        <f t="shared" si="8"/>
        <v/>
      </c>
      <c r="P26" s="123" t="str">
        <f t="shared" si="9"/>
        <v/>
      </c>
      <c r="Q26" s="123" t="str">
        <f t="shared" si="10"/>
        <v/>
      </c>
      <c r="R26" s="76">
        <f t="shared" si="11"/>
        <v>1</v>
      </c>
      <c r="S26" s="4">
        <v>5</v>
      </c>
      <c r="T26" s="4">
        <v>5</v>
      </c>
      <c r="U26" s="4">
        <v>5</v>
      </c>
      <c r="V26" s="4">
        <v>5</v>
      </c>
      <c r="W26" s="77">
        <f t="shared" si="12"/>
        <v>9.375</v>
      </c>
      <c r="X26" s="77">
        <f t="shared" si="13"/>
        <v>18.75</v>
      </c>
      <c r="Y26" s="77">
        <v>1.1499999999999999</v>
      </c>
      <c r="Z26" s="140">
        <f>SUM(S26:Y26)</f>
        <v>49.274999999999999</v>
      </c>
      <c r="AA26" s="199" t="s">
        <v>640</v>
      </c>
      <c r="AB26" s="5" t="s">
        <v>641</v>
      </c>
      <c r="AC26" s="323" t="s">
        <v>226</v>
      </c>
      <c r="AD26" s="5" t="s">
        <v>642</v>
      </c>
      <c r="AE26" s="5"/>
      <c r="AF26" s="5" t="s">
        <v>643</v>
      </c>
      <c r="AG26" s="310">
        <f>TaskEndDay!H38</f>
        <v>1</v>
      </c>
      <c r="AH26" s="207">
        <f>IFERROR(AVERAGE(AY26,BI26,BS26,CC26,CM26,CW26,DG26,DQ26,EA26,EK26)," ")</f>
        <v>0.54701388888888891</v>
      </c>
      <c r="AI26" s="42">
        <f>IFERROR(AVERAGE(BB26,BL26,BV26,CF26,CP26,CZ26,DJ26,DT26,ED26,EN26)," ")</f>
        <v>8.7620141944269854</v>
      </c>
      <c r="AJ26" s="80" t="str">
        <f>IFERROR(IF(AH26&gt;=0.6,"HIGH","LOW"),"")</f>
        <v>LOW</v>
      </c>
      <c r="AK26" s="80" t="str">
        <f>IFERROR(IF(AI26&lt;=8,"HIGH","LOW"),"")</f>
        <v>LOW</v>
      </c>
      <c r="AL26" s="313" t="s">
        <v>644</v>
      </c>
      <c r="AM26" s="99" t="s">
        <v>645</v>
      </c>
      <c r="AN26" s="128" t="str">
        <f>IF(AND(Z26&gt;Summary!$C$5, Z26&lt;=Summary!$D$5),Summary!$B$5,IF(AND(Z26&gt;Summary!$C$6, Z26&lt;=Summary!$D$6),Summary!$B$6,IF(AND(Z26&gt;Summary!$C$7, Z26&lt;=Summary!$D$7),Summary!$B$7,Summary!$B$8)))</f>
        <v>△</v>
      </c>
      <c r="AO26" s="14" t="s">
        <v>168</v>
      </c>
      <c r="AP26" s="14"/>
      <c r="AQ26" s="14"/>
      <c r="AR26" s="14"/>
      <c r="AS26" s="14" t="s">
        <v>168</v>
      </c>
      <c r="AT26" s="5" t="s">
        <v>646</v>
      </c>
      <c r="AU26" s="80" t="s">
        <v>647</v>
      </c>
      <c r="AV26" s="338" t="s">
        <v>168</v>
      </c>
      <c r="AW26" s="405">
        <v>15.4</v>
      </c>
      <c r="AX26" s="404">
        <v>33</v>
      </c>
      <c r="AY26" s="33">
        <f>IF(AX26="","",AW26/AX26)</f>
        <v>0.46666666666666667</v>
      </c>
      <c r="AZ26" s="42">
        <v>0.111</v>
      </c>
      <c r="BA26" s="3">
        <v>2</v>
      </c>
      <c r="BB26" s="37">
        <f t="shared" si="20"/>
        <v>18.018018018018019</v>
      </c>
      <c r="BC26" s="3">
        <v>2</v>
      </c>
      <c r="BD26" s="3">
        <v>2</v>
      </c>
      <c r="BE26" s="80" t="s">
        <v>648</v>
      </c>
      <c r="BF26" s="4" t="s">
        <v>168</v>
      </c>
      <c r="BG26" s="6">
        <v>10.5</v>
      </c>
      <c r="BH26" s="6">
        <v>30</v>
      </c>
      <c r="BI26" s="33">
        <f t="shared" si="21"/>
        <v>0.35</v>
      </c>
      <c r="BJ26" s="42">
        <v>0.12</v>
      </c>
      <c r="BK26" s="3">
        <v>2</v>
      </c>
      <c r="BL26" s="37">
        <f t="shared" si="22"/>
        <v>16.666666666666668</v>
      </c>
      <c r="BM26" s="3">
        <v>2</v>
      </c>
      <c r="BN26" s="3">
        <v>2</v>
      </c>
      <c r="BO26" s="80" t="s">
        <v>649</v>
      </c>
      <c r="BP26" s="4" t="s">
        <v>168</v>
      </c>
      <c r="BQ26" s="6">
        <v>22.9</v>
      </c>
      <c r="BR26" s="6">
        <v>45</v>
      </c>
      <c r="BS26" s="33">
        <f t="shared" si="23"/>
        <v>0.50888888888888884</v>
      </c>
      <c r="BT26" s="42">
        <v>0.72399999999999998</v>
      </c>
      <c r="BU26" s="3">
        <v>0</v>
      </c>
      <c r="BV26" s="37">
        <f t="shared" si="24"/>
        <v>0</v>
      </c>
      <c r="BW26" s="3">
        <v>0</v>
      </c>
      <c r="BX26" s="3">
        <v>0</v>
      </c>
      <c r="BY26" s="80" t="s">
        <v>650</v>
      </c>
      <c r="BZ26" s="4" t="s">
        <v>168</v>
      </c>
      <c r="CA26" s="6">
        <v>34.5</v>
      </c>
      <c r="CB26" s="6">
        <v>40</v>
      </c>
      <c r="CC26" s="33">
        <f>IF(CB26="","",CA26/CB26)</f>
        <v>0.86250000000000004</v>
      </c>
      <c r="CD26" s="42">
        <v>2.7519999999999998</v>
      </c>
      <c r="CE26" s="3">
        <v>1</v>
      </c>
      <c r="CF26" s="37">
        <f t="shared" si="26"/>
        <v>0.36337209302325585</v>
      </c>
      <c r="CG26" s="3">
        <v>1</v>
      </c>
      <c r="CH26" s="3">
        <v>1</v>
      </c>
      <c r="CI26" s="4" t="s">
        <v>461</v>
      </c>
      <c r="CJ26" s="4"/>
      <c r="CK26" s="6"/>
      <c r="CL26" s="6"/>
      <c r="CM26" s="33" t="str">
        <f t="shared" si="27"/>
        <v/>
      </c>
      <c r="CN26" s="42"/>
      <c r="CO26" s="3"/>
      <c r="CP26" s="37" t="str">
        <f t="shared" si="28"/>
        <v/>
      </c>
      <c r="CQ26" s="3"/>
      <c r="CR26" s="3"/>
      <c r="CS26" s="4" t="s">
        <v>461</v>
      </c>
      <c r="CT26" s="4"/>
      <c r="CU26" s="6"/>
      <c r="CV26" s="6"/>
      <c r="CW26" s="33" t="str">
        <f t="shared" si="29"/>
        <v/>
      </c>
      <c r="CX26" s="42"/>
      <c r="CY26" s="3"/>
      <c r="CZ26" s="37" t="str">
        <f t="shared" si="30"/>
        <v/>
      </c>
      <c r="DA26" s="3"/>
      <c r="DB26" s="3"/>
      <c r="DC26" s="4" t="s">
        <v>461</v>
      </c>
      <c r="DD26" s="4"/>
      <c r="DE26" s="6"/>
      <c r="DF26" s="6"/>
      <c r="DG26" s="33" t="str">
        <f t="shared" si="31"/>
        <v/>
      </c>
      <c r="DH26" s="42"/>
      <c r="DI26" s="3"/>
      <c r="DJ26" s="37" t="str">
        <f t="shared" si="32"/>
        <v/>
      </c>
      <c r="DK26" s="3"/>
      <c r="DL26" s="3"/>
      <c r="DM26" s="4" t="s">
        <v>461</v>
      </c>
      <c r="DN26" s="4"/>
      <c r="DO26" s="6"/>
      <c r="DP26" s="6"/>
      <c r="DQ26" s="33" t="str">
        <f t="shared" si="33"/>
        <v/>
      </c>
      <c r="DR26" s="42"/>
      <c r="DS26" s="3"/>
      <c r="DT26" s="37" t="str">
        <f t="shared" si="34"/>
        <v/>
      </c>
      <c r="DU26" s="3"/>
      <c r="DV26" s="3"/>
      <c r="DW26" s="4"/>
      <c r="DX26" s="4"/>
      <c r="DY26" s="6"/>
      <c r="DZ26" s="6"/>
      <c r="EA26" s="33" t="str">
        <f t="shared" si="35"/>
        <v/>
      </c>
      <c r="EB26" s="42"/>
      <c r="EC26" s="3"/>
      <c r="ED26" s="37" t="str">
        <f t="shared" si="36"/>
        <v/>
      </c>
      <c r="EE26" s="3"/>
      <c r="EF26" s="3"/>
      <c r="EG26" s="4"/>
      <c r="EH26" s="4"/>
      <c r="EI26" s="6"/>
      <c r="EJ26" s="6"/>
      <c r="EK26" s="33" t="str">
        <f t="shared" si="37"/>
        <v/>
      </c>
      <c r="EL26" s="42"/>
      <c r="EM26" s="3"/>
      <c r="EN26" s="37" t="str">
        <f t="shared" si="38"/>
        <v/>
      </c>
      <c r="EO26" s="3"/>
      <c r="EP26" s="3"/>
      <c r="EQ26" s="4"/>
      <c r="ER26" s="4"/>
      <c r="ES26" s="6"/>
      <c r="ET26" s="6"/>
      <c r="EU26" s="33" t="str">
        <f t="shared" si="39"/>
        <v/>
      </c>
      <c r="EV26" s="42"/>
      <c r="EW26" s="3"/>
      <c r="EX26" s="37" t="str">
        <f t="shared" si="40"/>
        <v/>
      </c>
      <c r="EY26" s="3"/>
      <c r="EZ26" s="3"/>
      <c r="FA26" s="4"/>
      <c r="FB26" s="4"/>
      <c r="FC26" s="6"/>
      <c r="FD26" s="6"/>
      <c r="FE26" s="33" t="str">
        <f t="shared" si="41"/>
        <v/>
      </c>
      <c r="FF26" s="42"/>
      <c r="FG26" s="3"/>
      <c r="FH26" s="37" t="str">
        <f t="shared" si="42"/>
        <v/>
      </c>
      <c r="FI26" s="3"/>
      <c r="FJ26" s="3"/>
      <c r="FM26" s="54">
        <f t="shared" si="45"/>
        <v>3.7070000000000003</v>
      </c>
      <c r="FN26" s="54">
        <f t="shared" si="45"/>
        <v>5</v>
      </c>
      <c r="FO26" s="471">
        <f t="shared" si="43"/>
        <v>83.300000000000011</v>
      </c>
      <c r="FP26" s="471">
        <f t="shared" si="43"/>
        <v>148</v>
      </c>
      <c r="FR26">
        <f t="shared" si="18"/>
        <v>1.3487995683841381</v>
      </c>
    </row>
    <row r="27" spans="2:174" ht="187.5" customHeight="1">
      <c r="B27" s="3" t="s">
        <v>651</v>
      </c>
      <c r="C27" s="3" t="s">
        <v>384</v>
      </c>
      <c r="D27" s="4" t="s">
        <v>313</v>
      </c>
      <c r="E27" s="4">
        <v>1</v>
      </c>
      <c r="F27" s="123" t="str">
        <f t="shared" si="1"/>
        <v>×
[P・Q]
×・○</v>
      </c>
      <c r="G27" s="123" t="str">
        <f t="shared" si="2"/>
        <v/>
      </c>
      <c r="H27" s="123" t="str">
        <f t="shared" si="46"/>
        <v/>
      </c>
      <c r="I27" s="123" t="str">
        <f t="shared" si="47"/>
        <v/>
      </c>
      <c r="J27" s="123" t="str">
        <f t="shared" si="48"/>
        <v/>
      </c>
      <c r="K27" s="123" t="str">
        <f t="shared" si="4"/>
        <v/>
      </c>
      <c r="L27" s="123" t="str">
        <f t="shared" si="5"/>
        <v/>
      </c>
      <c r="M27" s="123" t="str">
        <f t="shared" si="6"/>
        <v/>
      </c>
      <c r="N27" s="123" t="str">
        <f t="shared" si="7"/>
        <v/>
      </c>
      <c r="O27" s="123" t="str">
        <f t="shared" si="8"/>
        <v/>
      </c>
      <c r="P27" s="123" t="str">
        <f t="shared" si="9"/>
        <v/>
      </c>
      <c r="Q27" s="123" t="str">
        <f t="shared" si="10"/>
        <v/>
      </c>
      <c r="R27" s="76">
        <f t="shared" si="11"/>
        <v>1</v>
      </c>
      <c r="S27" s="4">
        <v>1</v>
      </c>
      <c r="T27" s="4">
        <v>5</v>
      </c>
      <c r="U27" s="4">
        <v>5</v>
      </c>
      <c r="V27" s="4">
        <v>1</v>
      </c>
      <c r="W27" s="77">
        <f t="shared" si="12"/>
        <v>0</v>
      </c>
      <c r="X27" s="75">
        <f t="shared" si="13"/>
        <v>37.5</v>
      </c>
      <c r="Y27" s="77" cm="1">
        <f t="array" ref="Y27">_xlfn.IFS(R27&gt;=0.8,5,R27&gt;=0.6,3,R27&gt;=0.2,1,R27&lt;0.2,0)</f>
        <v>5</v>
      </c>
      <c r="Z27" s="140">
        <f t="shared" ref="Z27:Z31" si="49">SUM(S27:Y27)</f>
        <v>54.5</v>
      </c>
      <c r="AA27" s="5" t="s">
        <v>652</v>
      </c>
      <c r="AB27" s="196" t="s">
        <v>653</v>
      </c>
      <c r="AC27" s="338" t="s">
        <v>251</v>
      </c>
      <c r="AD27" s="5" t="s">
        <v>654</v>
      </c>
      <c r="AE27" s="142"/>
      <c r="AF27" s="5" t="s">
        <v>655</v>
      </c>
      <c r="AG27" s="310">
        <f>TaskEndDay!H39</f>
        <v>1</v>
      </c>
      <c r="AH27" s="207">
        <f>IFERROR(AVERAGE(AY27,BI27,BS27,CC27,CM27,CW27,DG27,DQ27,EA27,EK27)," ")</f>
        <v>0.17674418604651163</v>
      </c>
      <c r="AI27" s="42">
        <f>IFERROR(AVERAGE(BB27,BL27,BV27,CF27,CP27,CZ27,DJ27,DT27,ED27,EN27)," ")</f>
        <v>2.6097271648873073</v>
      </c>
      <c r="AJ27" s="80" t="str">
        <f t="shared" si="16"/>
        <v>LOW</v>
      </c>
      <c r="AK27" s="80" t="str">
        <f t="shared" si="17"/>
        <v>HIGH</v>
      </c>
      <c r="AL27" s="313" t="s">
        <v>656</v>
      </c>
      <c r="AM27" s="99" t="s">
        <v>657</v>
      </c>
      <c r="AN27" s="126" t="str">
        <f>IF(AND(Z27&gt;Summary!$C$5, Z27&lt;=Summary!$D$5),Summary!$B$5,IF(AND(Z27&gt;Summary!$C$6, Z27&lt;=Summary!$D$6),Summary!$B$6,IF(AND(Z27&gt;Summary!$C$7, Z27&lt;=Summary!$D$7),Summary!$B$7,Summary!$B$8)))</f>
        <v>○</v>
      </c>
      <c r="AO27" s="14" t="s">
        <v>174</v>
      </c>
      <c r="AP27" s="14"/>
      <c r="AQ27" s="14"/>
      <c r="AR27" s="14"/>
      <c r="AS27" s="14" t="s">
        <v>168</v>
      </c>
      <c r="AT27" s="5" t="s">
        <v>608</v>
      </c>
      <c r="AU27" s="82" t="s">
        <v>658</v>
      </c>
      <c r="AV27" s="4" t="s">
        <v>168</v>
      </c>
      <c r="AW27" s="89">
        <v>22.8</v>
      </c>
      <c r="AX27" s="6">
        <v>129</v>
      </c>
      <c r="AY27" s="33">
        <f>IF(AX27="","",AW27/AX27)</f>
        <v>0.17674418604651163</v>
      </c>
      <c r="AZ27" s="42">
        <v>4.2149999999999999</v>
      </c>
      <c r="BA27" s="3">
        <v>11</v>
      </c>
      <c r="BB27" s="37">
        <f t="shared" si="20"/>
        <v>2.6097271648873073</v>
      </c>
      <c r="BC27" s="3">
        <v>11</v>
      </c>
      <c r="BD27" s="3">
        <v>11</v>
      </c>
      <c r="BE27" s="4" t="s">
        <v>461</v>
      </c>
      <c r="BF27" s="4"/>
      <c r="BG27" s="6"/>
      <c r="BH27" s="6"/>
      <c r="BI27" s="33" t="str">
        <f t="shared" si="21"/>
        <v/>
      </c>
      <c r="BJ27" s="42"/>
      <c r="BK27" s="3"/>
      <c r="BL27" s="37" t="str">
        <f t="shared" si="22"/>
        <v/>
      </c>
      <c r="BM27" s="3"/>
      <c r="BN27" s="3"/>
      <c r="BO27" s="4" t="s">
        <v>461</v>
      </c>
      <c r="BP27" s="4"/>
      <c r="BQ27" s="6"/>
      <c r="BR27" s="6"/>
      <c r="BS27" s="33" t="str">
        <f t="shared" si="23"/>
        <v/>
      </c>
      <c r="BT27" s="42"/>
      <c r="BU27" s="3"/>
      <c r="BV27" s="37" t="str">
        <f t="shared" si="24"/>
        <v/>
      </c>
      <c r="BW27" s="3"/>
      <c r="BX27" s="3"/>
      <c r="BY27" s="4" t="s">
        <v>461</v>
      </c>
      <c r="BZ27" s="4"/>
      <c r="CA27" s="6"/>
      <c r="CB27" s="6"/>
      <c r="CC27" s="33" t="str">
        <f t="shared" si="25"/>
        <v/>
      </c>
      <c r="CD27" s="42"/>
      <c r="CE27" s="3"/>
      <c r="CF27" s="37" t="str">
        <f t="shared" si="26"/>
        <v/>
      </c>
      <c r="CG27" s="3"/>
      <c r="CH27" s="3"/>
      <c r="CI27" s="4" t="s">
        <v>461</v>
      </c>
      <c r="CJ27" s="4"/>
      <c r="CK27" s="6"/>
      <c r="CL27" s="6"/>
      <c r="CM27" s="33" t="str">
        <f t="shared" si="27"/>
        <v/>
      </c>
      <c r="CN27" s="42"/>
      <c r="CO27" s="3"/>
      <c r="CP27" s="37" t="str">
        <f t="shared" si="28"/>
        <v/>
      </c>
      <c r="CQ27" s="3"/>
      <c r="CR27" s="3"/>
      <c r="CS27" s="4" t="s">
        <v>461</v>
      </c>
      <c r="CT27" s="4"/>
      <c r="CU27" s="6"/>
      <c r="CV27" s="6"/>
      <c r="CW27" s="33" t="str">
        <f t="shared" si="29"/>
        <v/>
      </c>
      <c r="CX27" s="42"/>
      <c r="CY27" s="3"/>
      <c r="CZ27" s="37" t="str">
        <f t="shared" si="30"/>
        <v/>
      </c>
      <c r="DA27" s="3"/>
      <c r="DB27" s="3"/>
      <c r="DC27" s="4" t="s">
        <v>461</v>
      </c>
      <c r="DD27" s="4"/>
      <c r="DE27" s="6"/>
      <c r="DF27" s="6"/>
      <c r="DG27" s="33" t="str">
        <f t="shared" si="31"/>
        <v/>
      </c>
      <c r="DH27" s="42"/>
      <c r="DI27" s="3"/>
      <c r="DJ27" s="37" t="str">
        <f t="shared" si="32"/>
        <v/>
      </c>
      <c r="DK27" s="3"/>
      <c r="DL27" s="3"/>
      <c r="DM27" s="4" t="s">
        <v>461</v>
      </c>
      <c r="DN27" s="4"/>
      <c r="DO27" s="6"/>
      <c r="DP27" s="6"/>
      <c r="DQ27" s="33" t="str">
        <f t="shared" si="33"/>
        <v/>
      </c>
      <c r="DR27" s="42"/>
      <c r="DS27" s="3"/>
      <c r="DT27" s="37" t="str">
        <f t="shared" si="34"/>
        <v/>
      </c>
      <c r="DU27" s="3"/>
      <c r="DV27" s="3"/>
      <c r="DW27" s="4"/>
      <c r="DX27" s="4"/>
      <c r="DY27" s="6"/>
      <c r="DZ27" s="6"/>
      <c r="EA27" s="33" t="str">
        <f t="shared" si="35"/>
        <v/>
      </c>
      <c r="EB27" s="42"/>
      <c r="EC27" s="3"/>
      <c r="ED27" s="37" t="str">
        <f t="shared" si="36"/>
        <v/>
      </c>
      <c r="EE27" s="3"/>
      <c r="EF27" s="3"/>
      <c r="EG27" s="4"/>
      <c r="EH27" s="4"/>
      <c r="EI27" s="6"/>
      <c r="EJ27" s="6"/>
      <c r="EK27" s="33" t="str">
        <f t="shared" si="37"/>
        <v/>
      </c>
      <c r="EL27" s="42"/>
      <c r="EM27" s="3"/>
      <c r="EN27" s="37" t="str">
        <f t="shared" si="38"/>
        <v/>
      </c>
      <c r="EO27" s="3"/>
      <c r="EP27" s="3"/>
      <c r="EQ27" s="4"/>
      <c r="ER27" s="4"/>
      <c r="ES27" s="6"/>
      <c r="ET27" s="6"/>
      <c r="EU27" s="33" t="str">
        <f t="shared" si="39"/>
        <v/>
      </c>
      <c r="EV27" s="42"/>
      <c r="EW27" s="3"/>
      <c r="EX27" s="37" t="str">
        <f t="shared" si="40"/>
        <v/>
      </c>
      <c r="EY27" s="3"/>
      <c r="EZ27" s="3"/>
      <c r="FA27" s="4"/>
      <c r="FB27" s="4"/>
      <c r="FC27" s="6"/>
      <c r="FD27" s="6"/>
      <c r="FE27" s="33" t="str">
        <f t="shared" si="41"/>
        <v/>
      </c>
      <c r="FF27" s="42"/>
      <c r="FG27" s="3"/>
      <c r="FH27" s="37" t="str">
        <f t="shared" si="42"/>
        <v/>
      </c>
      <c r="FI27" s="3"/>
      <c r="FJ27" s="3"/>
      <c r="FM27" s="54">
        <f t="shared" si="45"/>
        <v>4.2149999999999999</v>
      </c>
      <c r="FN27" s="54">
        <f t="shared" si="45"/>
        <v>11</v>
      </c>
      <c r="FO27" s="471">
        <f t="shared" si="43"/>
        <v>22.8</v>
      </c>
      <c r="FP27" s="471">
        <f t="shared" si="43"/>
        <v>129</v>
      </c>
      <c r="FR27">
        <f t="shared" si="18"/>
        <v>2.6097271648873073</v>
      </c>
    </row>
    <row r="28" spans="2:174" ht="42" customHeight="1">
      <c r="B28" s="3" t="s">
        <v>659</v>
      </c>
      <c r="C28" s="3" t="s">
        <v>300</v>
      </c>
      <c r="D28" s="4" t="s">
        <v>313</v>
      </c>
      <c r="E28" s="4">
        <v>5</v>
      </c>
      <c r="F28" s="123" t="str">
        <f t="shared" si="1"/>
        <v>×
[P・Q]
○・×</v>
      </c>
      <c r="G28" s="123" t="str">
        <f t="shared" si="2"/>
        <v>×
[P・Q]
○・×</v>
      </c>
      <c r="H28" s="123" t="str">
        <f t="shared" si="46"/>
        <v>○
[P・Q]
○・○</v>
      </c>
      <c r="I28" s="123" t="str">
        <f t="shared" si="47"/>
        <v>○
[P・Q]
○・○</v>
      </c>
      <c r="J28" s="123" t="str">
        <f t="shared" si="48"/>
        <v>○
[P・Q]
○・○</v>
      </c>
      <c r="K28" s="123" t="str">
        <f t="shared" si="4"/>
        <v/>
      </c>
      <c r="L28" s="123" t="str">
        <f t="shared" si="5"/>
        <v/>
      </c>
      <c r="M28" s="123" t="str">
        <f t="shared" si="6"/>
        <v/>
      </c>
      <c r="N28" s="123" t="str">
        <f t="shared" si="7"/>
        <v/>
      </c>
      <c r="O28" s="123" t="str">
        <f t="shared" si="8"/>
        <v/>
      </c>
      <c r="P28" s="123" t="str">
        <f t="shared" si="9"/>
        <v/>
      </c>
      <c r="Q28" s="123" t="str">
        <f t="shared" si="10"/>
        <v/>
      </c>
      <c r="R28" s="76">
        <f t="shared" si="11"/>
        <v>1</v>
      </c>
      <c r="S28" s="4">
        <v>3</v>
      </c>
      <c r="T28" s="4">
        <v>5</v>
      </c>
      <c r="U28" s="102">
        <v>5</v>
      </c>
      <c r="V28" s="4">
        <v>3</v>
      </c>
      <c r="W28" s="77">
        <f t="shared" si="12"/>
        <v>37.5</v>
      </c>
      <c r="X28" s="77">
        <f t="shared" si="13"/>
        <v>22.5</v>
      </c>
      <c r="Y28" s="77" cm="1">
        <f t="array" ref="Y28">_xlfn.IFS(R28&gt;=0.8,5,R28&gt;=0.6,3,R28&gt;=0.2,1,R28&lt;0.2,0)</f>
        <v>5</v>
      </c>
      <c r="Z28" s="140">
        <f t="shared" si="49"/>
        <v>81</v>
      </c>
      <c r="AA28" s="305" t="s">
        <v>660</v>
      </c>
      <c r="AB28" s="196" t="s">
        <v>661</v>
      </c>
      <c r="AC28" s="306" t="s">
        <v>251</v>
      </c>
      <c r="AD28" s="130" t="s">
        <v>662</v>
      </c>
      <c r="AE28" s="307" t="s">
        <v>174</v>
      </c>
      <c r="AF28" s="130" t="s">
        <v>663</v>
      </c>
      <c r="AG28" s="196"/>
      <c r="AH28" s="300">
        <f>IFERROR(AVERAGE(AY28,BI28,BS28,CC28,CM28,CW28,DG28,DQ28,EA28,EK28)," ")</f>
        <v>0.67056060606060608</v>
      </c>
      <c r="AI28" s="91">
        <f t="shared" si="15"/>
        <v>21.111742055253217</v>
      </c>
      <c r="AJ28" s="100" t="str">
        <f t="shared" si="16"/>
        <v>HIGH</v>
      </c>
      <c r="AK28" s="100" t="str">
        <f t="shared" si="17"/>
        <v>LOW</v>
      </c>
      <c r="AL28" s="301" t="s">
        <v>664</v>
      </c>
      <c r="AM28" s="130" t="s">
        <v>665</v>
      </c>
      <c r="AN28" s="302" t="str">
        <f>IF(AND(Z28&gt;Summary!$C$5, Z28&lt;=Summary!$D$5),Summary!$B$5,IF(AND(Z28&gt;Summary!$C$6, Z28&lt;=Summary!$D$6),Summary!$B$6,IF(AND(Z28&gt;Summary!$C$7, Z28&lt;=Summary!$D$7),Summary!$B$7,Summary!$B$8)))</f>
        <v>◎</v>
      </c>
      <c r="AO28" s="151" t="s">
        <v>168</v>
      </c>
      <c r="AP28" s="151"/>
      <c r="AQ28" s="151"/>
      <c r="AR28" s="303" t="s">
        <v>168</v>
      </c>
      <c r="AS28" s="303"/>
      <c r="AT28" s="130" t="s">
        <v>598</v>
      </c>
      <c r="AU28" s="82" t="s">
        <v>666</v>
      </c>
      <c r="AV28" s="4" t="s">
        <v>168</v>
      </c>
      <c r="AW28" s="6">
        <v>10.4</v>
      </c>
      <c r="AX28" s="6">
        <v>16</v>
      </c>
      <c r="AY28" s="33">
        <f t="shared" si="19"/>
        <v>0.65</v>
      </c>
      <c r="AZ28" s="42">
        <v>6.8000000000000005E-2</v>
      </c>
      <c r="BA28" s="3">
        <v>2</v>
      </c>
      <c r="BB28" s="37">
        <f t="shared" si="20"/>
        <v>29.411764705882351</v>
      </c>
      <c r="BC28" s="3">
        <v>2</v>
      </c>
      <c r="BD28" s="3">
        <v>2</v>
      </c>
      <c r="BE28" s="80" t="s">
        <v>667</v>
      </c>
      <c r="BF28" s="4" t="s">
        <v>168</v>
      </c>
      <c r="BG28" s="6">
        <v>10.6</v>
      </c>
      <c r="BH28" s="6">
        <v>16.5</v>
      </c>
      <c r="BI28" s="33">
        <f t="shared" si="21"/>
        <v>0.64242424242424245</v>
      </c>
      <c r="BJ28" s="185">
        <v>4.1000000000000002E-2</v>
      </c>
      <c r="BK28" s="3">
        <v>3</v>
      </c>
      <c r="BL28" s="37">
        <f t="shared" si="22"/>
        <v>73.170731707317074</v>
      </c>
      <c r="BM28" s="3">
        <v>3</v>
      </c>
      <c r="BN28" s="3">
        <v>3</v>
      </c>
      <c r="BO28" s="80" t="s">
        <v>668</v>
      </c>
      <c r="BP28" s="4" t="s">
        <v>168</v>
      </c>
      <c r="BQ28" s="6">
        <v>22.8</v>
      </c>
      <c r="BR28" s="6">
        <v>32</v>
      </c>
      <c r="BS28" s="33">
        <f t="shared" si="23"/>
        <v>0.71250000000000002</v>
      </c>
      <c r="BT28" s="42">
        <v>1.012</v>
      </c>
      <c r="BU28" s="3">
        <v>1</v>
      </c>
      <c r="BV28" s="37">
        <f t="shared" si="24"/>
        <v>0.98814229249011853</v>
      </c>
      <c r="BW28" s="3">
        <v>1</v>
      </c>
      <c r="BX28" s="3">
        <v>1</v>
      </c>
      <c r="BY28" s="80" t="s">
        <v>669</v>
      </c>
      <c r="BZ28" s="4" t="s">
        <v>168</v>
      </c>
      <c r="CA28" s="6">
        <v>19.399999999999999</v>
      </c>
      <c r="CB28" s="6">
        <v>27.5</v>
      </c>
      <c r="CC28" s="33">
        <f t="shared" si="25"/>
        <v>0.70545454545454545</v>
      </c>
      <c r="CD28" s="42">
        <v>0.503</v>
      </c>
      <c r="CE28" s="3">
        <v>1</v>
      </c>
      <c r="CF28" s="37">
        <f t="shared" si="26"/>
        <v>1.9880715705765408</v>
      </c>
      <c r="CG28" s="3">
        <v>1</v>
      </c>
      <c r="CH28" s="3">
        <v>1</v>
      </c>
      <c r="CI28" s="3" t="s">
        <v>670</v>
      </c>
      <c r="CJ28" s="4" t="s">
        <v>168</v>
      </c>
      <c r="CK28" s="6">
        <v>10.6</v>
      </c>
      <c r="CL28" s="6">
        <v>16.5</v>
      </c>
      <c r="CM28" s="33">
        <f t="shared" si="27"/>
        <v>0.64242424242424245</v>
      </c>
      <c r="CN28" s="42">
        <v>0.11799999999999999</v>
      </c>
      <c r="CO28" s="3">
        <v>0</v>
      </c>
      <c r="CP28" s="37">
        <f t="shared" si="28"/>
        <v>0</v>
      </c>
      <c r="CQ28" s="3">
        <v>0</v>
      </c>
      <c r="CR28" s="3">
        <v>0</v>
      </c>
      <c r="CS28" s="4"/>
      <c r="CT28" s="4"/>
      <c r="CU28" s="6">
        <v>10.5</v>
      </c>
      <c r="CV28" s="6"/>
      <c r="CW28" s="33" t="str">
        <f t="shared" si="29"/>
        <v/>
      </c>
      <c r="CX28" s="42"/>
      <c r="CY28" s="3"/>
      <c r="CZ28" s="37" t="str">
        <f t="shared" si="30"/>
        <v/>
      </c>
      <c r="DA28" s="3"/>
      <c r="DB28" s="3"/>
      <c r="DC28" s="4" t="s">
        <v>461</v>
      </c>
      <c r="DD28" s="4"/>
      <c r="DE28" s="6"/>
      <c r="DF28" s="6"/>
      <c r="DG28" s="33" t="str">
        <f t="shared" si="31"/>
        <v/>
      </c>
      <c r="DH28" s="42"/>
      <c r="DI28" s="3"/>
      <c r="DJ28" s="37" t="str">
        <f t="shared" si="32"/>
        <v/>
      </c>
      <c r="DK28" s="3"/>
      <c r="DL28" s="3"/>
      <c r="DM28" s="4" t="s">
        <v>461</v>
      </c>
      <c r="DN28" s="4"/>
      <c r="DO28" s="6"/>
      <c r="DP28" s="6"/>
      <c r="DQ28" s="33" t="str">
        <f t="shared" si="33"/>
        <v/>
      </c>
      <c r="DR28" s="42"/>
      <c r="DS28" s="3"/>
      <c r="DT28" s="37" t="str">
        <f t="shared" si="34"/>
        <v/>
      </c>
      <c r="DU28" s="3"/>
      <c r="DV28" s="3"/>
      <c r="DW28" s="4"/>
      <c r="DX28" s="4"/>
      <c r="DY28" s="6"/>
      <c r="DZ28" s="6"/>
      <c r="EA28" s="33" t="str">
        <f t="shared" si="35"/>
        <v/>
      </c>
      <c r="EB28" s="42"/>
      <c r="EC28" s="3"/>
      <c r="ED28" s="37" t="str">
        <f t="shared" si="36"/>
        <v/>
      </c>
      <c r="EE28" s="3"/>
      <c r="EF28" s="3"/>
      <c r="EG28" s="4"/>
      <c r="EH28" s="4"/>
      <c r="EI28" s="6"/>
      <c r="EJ28" s="6"/>
      <c r="EK28" s="33" t="str">
        <f t="shared" si="37"/>
        <v/>
      </c>
      <c r="EL28" s="42"/>
      <c r="EM28" s="3"/>
      <c r="EN28" s="37" t="str">
        <f t="shared" si="38"/>
        <v/>
      </c>
      <c r="EO28" s="3"/>
      <c r="EP28" s="3"/>
      <c r="EQ28" s="4"/>
      <c r="ER28" s="4"/>
      <c r="ES28" s="6"/>
      <c r="ET28" s="6"/>
      <c r="EU28" s="33" t="str">
        <f t="shared" si="39"/>
        <v/>
      </c>
      <c r="EV28" s="42"/>
      <c r="EW28" s="3"/>
      <c r="EX28" s="37" t="str">
        <f t="shared" si="40"/>
        <v/>
      </c>
      <c r="EY28" s="3"/>
      <c r="EZ28" s="3"/>
      <c r="FA28" s="4"/>
      <c r="FB28" s="4"/>
      <c r="FC28" s="6"/>
      <c r="FD28" s="6"/>
      <c r="FE28" s="33" t="str">
        <f t="shared" si="41"/>
        <v/>
      </c>
      <c r="FF28" s="42"/>
      <c r="FG28" s="3"/>
      <c r="FH28" s="37" t="str">
        <f t="shared" si="42"/>
        <v/>
      </c>
      <c r="FI28" s="3"/>
      <c r="FJ28" s="3"/>
      <c r="FM28" s="54">
        <f t="shared" si="45"/>
        <v>1.742</v>
      </c>
      <c r="FN28" s="54">
        <f t="shared" si="45"/>
        <v>7</v>
      </c>
      <c r="FO28" s="471">
        <f t="shared" si="43"/>
        <v>84.3</v>
      </c>
      <c r="FP28" s="471">
        <f t="shared" si="43"/>
        <v>108.5</v>
      </c>
      <c r="FR28">
        <f t="shared" si="18"/>
        <v>4.0183696900114807</v>
      </c>
    </row>
    <row r="29" spans="2:174" ht="42" customHeight="1">
      <c r="B29" s="27"/>
      <c r="C29" s="27"/>
      <c r="D29" s="27"/>
      <c r="E29" s="4"/>
      <c r="F29" s="123" t="str">
        <f t="shared" si="1"/>
        <v/>
      </c>
      <c r="G29" s="123" t="str">
        <f t="shared" si="2"/>
        <v/>
      </c>
      <c r="H29" s="123" t="str">
        <f t="shared" si="46"/>
        <v/>
      </c>
      <c r="I29" s="123" t="str">
        <f t="shared" si="47"/>
        <v/>
      </c>
      <c r="J29" s="123" t="str">
        <f t="shared" si="48"/>
        <v/>
      </c>
      <c r="K29" s="123" t="str">
        <f t="shared" si="4"/>
        <v/>
      </c>
      <c r="L29" s="123" t="str">
        <f t="shared" si="5"/>
        <v/>
      </c>
      <c r="M29" s="123" t="str">
        <f t="shared" si="6"/>
        <v/>
      </c>
      <c r="N29" s="123" t="str">
        <f t="shared" si="7"/>
        <v/>
      </c>
      <c r="O29" s="123" t="str">
        <f t="shared" si="8"/>
        <v/>
      </c>
      <c r="P29" s="123" t="str">
        <f t="shared" si="9"/>
        <v/>
      </c>
      <c r="Q29" s="123" t="str">
        <f t="shared" si="10"/>
        <v/>
      </c>
      <c r="R29" s="76" t="e">
        <f t="shared" si="11"/>
        <v>#DIV/0!</v>
      </c>
      <c r="S29" s="4"/>
      <c r="T29" s="4"/>
      <c r="U29" s="4"/>
      <c r="V29" s="4"/>
      <c r="W29" s="77" t="e">
        <f t="shared" si="12"/>
        <v>#DIV/0!</v>
      </c>
      <c r="X29" s="77" t="e">
        <f t="shared" si="13"/>
        <v>#DIV/0!</v>
      </c>
      <c r="Y29" s="77" t="e" cm="1">
        <f t="array" ref="Y29">_xlfn.IFS(R29&gt;=0.8,5,R29&gt;=0.6,3,R29&gt;=0.2,1,R29&lt;0.2,0)</f>
        <v>#DIV/0!</v>
      </c>
      <c r="Z29" s="140" t="e">
        <f t="shared" si="49"/>
        <v>#DIV/0!</v>
      </c>
      <c r="AA29" s="5"/>
      <c r="AB29" s="196"/>
      <c r="AC29" s="130"/>
      <c r="AD29" s="130"/>
      <c r="AE29" s="130"/>
      <c r="AF29" s="130"/>
      <c r="AG29" s="130"/>
      <c r="AH29" s="130"/>
      <c r="AI29" s="130"/>
      <c r="AJ29" s="130"/>
      <c r="AK29" s="130"/>
      <c r="AL29" s="130"/>
      <c r="AM29" s="130"/>
      <c r="AN29" s="126" t="e">
        <f>IF(AND(Z29&gt;Summary!$C$5, Z29&lt;=Summary!$D$5),Summary!$B$5,IF(AND(Z29&gt;Summary!$C$6, Z29&lt;=Summary!$D$6),Summary!$B$6,IF(AND(Z29&gt;Summary!$C$7, Z29&lt;=Summary!$D$7),Summary!$B$7,Summary!$B$8)))</f>
        <v>#DIV/0!</v>
      </c>
      <c r="AO29" s="14"/>
      <c r="AP29" s="14"/>
      <c r="AQ29" s="14"/>
      <c r="AR29" s="14"/>
      <c r="AS29" s="14"/>
      <c r="AT29" s="130"/>
      <c r="AU29" s="4"/>
      <c r="AV29" s="4"/>
      <c r="AW29" s="6"/>
      <c r="AX29" s="6"/>
      <c r="AY29" s="33" t="str">
        <f t="shared" si="19"/>
        <v/>
      </c>
      <c r="AZ29" s="42"/>
      <c r="BA29" s="3"/>
      <c r="BB29" s="37" t="str">
        <f t="shared" si="20"/>
        <v/>
      </c>
      <c r="BC29" s="3"/>
      <c r="BD29" s="3"/>
      <c r="BE29" s="4"/>
      <c r="BF29" s="4"/>
      <c r="BG29" s="6"/>
      <c r="BH29" s="6"/>
      <c r="BI29" s="33" t="str">
        <f t="shared" si="21"/>
        <v/>
      </c>
      <c r="BJ29" s="42"/>
      <c r="BK29" s="3"/>
      <c r="BL29" s="37" t="str">
        <f t="shared" si="22"/>
        <v/>
      </c>
      <c r="BM29" s="3"/>
      <c r="BN29" s="3"/>
      <c r="BO29" s="4"/>
      <c r="BP29" s="4"/>
      <c r="BQ29" s="6"/>
      <c r="BR29" s="6"/>
      <c r="BS29" s="33" t="str">
        <f t="shared" si="23"/>
        <v/>
      </c>
      <c r="BT29" s="42"/>
      <c r="BU29" s="3"/>
      <c r="BV29" s="37" t="str">
        <f t="shared" si="24"/>
        <v/>
      </c>
      <c r="BW29" s="3"/>
      <c r="BX29" s="3"/>
      <c r="BY29" s="4"/>
      <c r="BZ29" s="4"/>
      <c r="CA29" s="6"/>
      <c r="CB29" s="6"/>
      <c r="CC29" s="33" t="str">
        <f t="shared" si="25"/>
        <v/>
      </c>
      <c r="CD29" s="42"/>
      <c r="CE29" s="3"/>
      <c r="CF29" s="37" t="str">
        <f t="shared" si="26"/>
        <v/>
      </c>
      <c r="CG29" s="3"/>
      <c r="CH29" s="3"/>
      <c r="CI29" s="4"/>
      <c r="CJ29" s="4"/>
      <c r="CK29" s="6"/>
      <c r="CL29" s="6"/>
      <c r="CM29" s="33" t="str">
        <f t="shared" si="27"/>
        <v/>
      </c>
      <c r="CN29" s="42"/>
      <c r="CO29" s="3"/>
      <c r="CP29" s="37" t="str">
        <f t="shared" si="28"/>
        <v/>
      </c>
      <c r="CQ29" s="3"/>
      <c r="CR29" s="3"/>
      <c r="CS29" s="4"/>
      <c r="CT29" s="4"/>
      <c r="CU29" s="6"/>
      <c r="CV29" s="6"/>
      <c r="CW29" s="33" t="str">
        <f t="shared" si="29"/>
        <v/>
      </c>
      <c r="CX29" s="42"/>
      <c r="CY29" s="3"/>
      <c r="CZ29" s="37" t="str">
        <f t="shared" si="30"/>
        <v/>
      </c>
      <c r="DA29" s="3"/>
      <c r="DB29" s="3"/>
      <c r="DC29" s="4"/>
      <c r="DD29" s="4"/>
      <c r="DE29" s="6"/>
      <c r="DF29" s="6"/>
      <c r="DG29" s="33" t="str">
        <f t="shared" si="31"/>
        <v/>
      </c>
      <c r="DH29" s="42"/>
      <c r="DI29" s="3"/>
      <c r="DJ29" s="37" t="str">
        <f t="shared" si="32"/>
        <v/>
      </c>
      <c r="DK29" s="3"/>
      <c r="DL29" s="3"/>
      <c r="DM29" s="4"/>
      <c r="DN29" s="4"/>
      <c r="DO29" s="6"/>
      <c r="DP29" s="6"/>
      <c r="DQ29" s="33" t="str">
        <f t="shared" si="33"/>
        <v/>
      </c>
      <c r="DR29" s="42"/>
      <c r="DS29" s="3"/>
      <c r="DT29" s="37" t="str">
        <f t="shared" si="34"/>
        <v/>
      </c>
      <c r="DU29" s="3"/>
      <c r="DV29" s="3"/>
      <c r="DW29" s="4"/>
      <c r="DX29" s="4"/>
      <c r="DY29" s="6"/>
      <c r="DZ29" s="6"/>
      <c r="EA29" s="33" t="str">
        <f t="shared" si="35"/>
        <v/>
      </c>
      <c r="EB29" s="42"/>
      <c r="EC29" s="3"/>
      <c r="ED29" s="37" t="str">
        <f t="shared" si="36"/>
        <v/>
      </c>
      <c r="EE29" s="3"/>
      <c r="EF29" s="3"/>
      <c r="EG29" s="4"/>
      <c r="EH29" s="4"/>
      <c r="EI29" s="6"/>
      <c r="EJ29" s="6"/>
      <c r="EK29" s="33" t="str">
        <f t="shared" si="37"/>
        <v/>
      </c>
      <c r="EL29" s="42"/>
      <c r="EM29" s="3"/>
      <c r="EN29" s="37" t="str">
        <f t="shared" si="38"/>
        <v/>
      </c>
      <c r="EO29" s="3"/>
      <c r="EP29" s="3"/>
      <c r="EQ29" s="4"/>
      <c r="ER29" s="4"/>
      <c r="ES29" s="6"/>
      <c r="ET29" s="6"/>
      <c r="EU29" s="33" t="str">
        <f t="shared" si="39"/>
        <v/>
      </c>
      <c r="EV29" s="42"/>
      <c r="EW29" s="3"/>
      <c r="EX29" s="37" t="str">
        <f t="shared" si="40"/>
        <v/>
      </c>
      <c r="EY29" s="3"/>
      <c r="EZ29" s="3"/>
      <c r="FA29" s="4"/>
      <c r="FB29" s="4"/>
      <c r="FC29" s="6"/>
      <c r="FD29" s="6"/>
      <c r="FE29" s="33" t="str">
        <f t="shared" si="41"/>
        <v/>
      </c>
      <c r="FF29" s="42"/>
      <c r="FG29" s="3"/>
      <c r="FH29" s="37" t="str">
        <f t="shared" si="42"/>
        <v/>
      </c>
      <c r="FI29" s="3"/>
      <c r="FJ29" s="3"/>
      <c r="FM29" s="54">
        <f t="shared" si="45"/>
        <v>0</v>
      </c>
      <c r="FN29" s="54">
        <f t="shared" si="45"/>
        <v>0</v>
      </c>
      <c r="FO29" s="471">
        <f t="shared" si="43"/>
        <v>0</v>
      </c>
      <c r="FP29" s="471">
        <f t="shared" si="43"/>
        <v>0</v>
      </c>
    </row>
    <row r="30" spans="2:174" ht="42" customHeight="1">
      <c r="B30" s="3"/>
      <c r="C30" s="3"/>
      <c r="D30" s="3"/>
      <c r="E30" s="4"/>
      <c r="F30" s="123" t="str">
        <f t="shared" si="1"/>
        <v/>
      </c>
      <c r="G30" s="123" t="str">
        <f t="shared" si="2"/>
        <v/>
      </c>
      <c r="H30" s="123" t="str">
        <f t="shared" si="46"/>
        <v/>
      </c>
      <c r="I30" s="123" t="str">
        <f t="shared" si="47"/>
        <v/>
      </c>
      <c r="J30" s="123" t="str">
        <f t="shared" si="48"/>
        <v/>
      </c>
      <c r="K30" s="123" t="str">
        <f t="shared" si="4"/>
        <v/>
      </c>
      <c r="L30" s="123" t="str">
        <f t="shared" si="5"/>
        <v/>
      </c>
      <c r="M30" s="123" t="str">
        <f t="shared" si="6"/>
        <v/>
      </c>
      <c r="N30" s="123" t="str">
        <f t="shared" si="7"/>
        <v/>
      </c>
      <c r="O30" s="123" t="str">
        <f t="shared" si="8"/>
        <v/>
      </c>
      <c r="P30" s="123" t="str">
        <f t="shared" si="9"/>
        <v/>
      </c>
      <c r="Q30" s="123" t="str">
        <f t="shared" si="10"/>
        <v/>
      </c>
      <c r="R30" s="76" t="e">
        <f t="shared" si="11"/>
        <v>#DIV/0!</v>
      </c>
      <c r="S30" s="4"/>
      <c r="T30" s="4"/>
      <c r="U30" s="4"/>
      <c r="V30" s="4"/>
      <c r="W30" s="77" t="e">
        <f t="shared" si="12"/>
        <v>#DIV/0!</v>
      </c>
      <c r="X30" s="77" t="e">
        <f t="shared" si="13"/>
        <v>#DIV/0!</v>
      </c>
      <c r="Y30" s="77" t="e" cm="1">
        <f t="array" ref="Y30">_xlfn.IFS(R30&gt;=0.8,5,R30&gt;=0.6,3,R30&gt;=0.2,1,R30&lt;0.2,0)</f>
        <v>#DIV/0!</v>
      </c>
      <c r="Z30" s="140" t="e">
        <f t="shared" si="49"/>
        <v>#DIV/0!</v>
      </c>
      <c r="AA30" s="5"/>
      <c r="AB30" s="142"/>
      <c r="AC30" s="5"/>
      <c r="AD30" s="5"/>
      <c r="AE30" s="5"/>
      <c r="AF30" s="5"/>
      <c r="AG30" s="5"/>
      <c r="AH30" s="5"/>
      <c r="AI30" s="5"/>
      <c r="AJ30" s="5"/>
      <c r="AK30" s="5"/>
      <c r="AL30" s="5"/>
      <c r="AM30" s="5"/>
      <c r="AN30" s="126" t="e">
        <f>IF(AND(Z30&gt;Summary!$C$5, Z30&lt;=Summary!$D$5),Summary!$B$5,IF(AND(Z30&gt;Summary!$C$6, Z30&lt;=Summary!$D$6),Summary!$B$6,IF(AND(Z30&gt;Summary!$C$7, Z30&lt;=Summary!$D$7),Summary!$B$7,Summary!$B$8)))</f>
        <v>#DIV/0!</v>
      </c>
      <c r="AO30" s="14"/>
      <c r="AP30" s="14"/>
      <c r="AQ30" s="14"/>
      <c r="AR30" s="14"/>
      <c r="AS30" s="14"/>
      <c r="AT30" s="29"/>
      <c r="AU30" s="4"/>
      <c r="AV30" s="4"/>
      <c r="AW30" s="6"/>
      <c r="AX30" s="6"/>
      <c r="AY30" s="33" t="str">
        <f t="shared" si="19"/>
        <v/>
      </c>
      <c r="AZ30" s="42"/>
      <c r="BA30" s="3"/>
      <c r="BB30" s="37" t="str">
        <f t="shared" si="20"/>
        <v/>
      </c>
      <c r="BC30" s="3"/>
      <c r="BD30" s="3"/>
      <c r="BE30" s="4"/>
      <c r="BF30" s="4"/>
      <c r="BG30" s="6"/>
      <c r="BH30" s="6"/>
      <c r="BI30" s="33" t="str">
        <f t="shared" si="21"/>
        <v/>
      </c>
      <c r="BJ30" s="42"/>
      <c r="BK30" s="3"/>
      <c r="BL30" s="37" t="str">
        <f t="shared" si="22"/>
        <v/>
      </c>
      <c r="BM30" s="3"/>
      <c r="BN30" s="3"/>
      <c r="BO30" s="4"/>
      <c r="BP30" s="4"/>
      <c r="BQ30" s="6"/>
      <c r="BR30" s="6"/>
      <c r="BS30" s="33" t="str">
        <f t="shared" si="23"/>
        <v/>
      </c>
      <c r="BT30" s="42"/>
      <c r="BU30" s="3"/>
      <c r="BV30" s="37" t="str">
        <f t="shared" si="24"/>
        <v/>
      </c>
      <c r="BW30" s="3"/>
      <c r="BX30" s="3"/>
      <c r="BY30" s="4"/>
      <c r="BZ30" s="4"/>
      <c r="CA30" s="6"/>
      <c r="CB30" s="6"/>
      <c r="CC30" s="33" t="str">
        <f t="shared" si="25"/>
        <v/>
      </c>
      <c r="CD30" s="42"/>
      <c r="CE30" s="3"/>
      <c r="CF30" s="37" t="str">
        <f t="shared" si="26"/>
        <v/>
      </c>
      <c r="CG30" s="3"/>
      <c r="CH30" s="3"/>
      <c r="CI30" s="4"/>
      <c r="CJ30" s="4"/>
      <c r="CK30" s="6"/>
      <c r="CL30" s="6"/>
      <c r="CM30" s="33" t="str">
        <f t="shared" si="27"/>
        <v/>
      </c>
      <c r="CN30" s="42"/>
      <c r="CO30" s="3"/>
      <c r="CP30" s="37" t="str">
        <f t="shared" si="28"/>
        <v/>
      </c>
      <c r="CQ30" s="3"/>
      <c r="CR30" s="3"/>
      <c r="CS30" s="4"/>
      <c r="CT30" s="4"/>
      <c r="CU30" s="6"/>
      <c r="CV30" s="6"/>
      <c r="CW30" s="33" t="str">
        <f t="shared" si="29"/>
        <v/>
      </c>
      <c r="CX30" s="42"/>
      <c r="CY30" s="3"/>
      <c r="CZ30" s="37" t="b">
        <f>CV17=IF(CY30="","",CY30/CX30)</f>
        <v>0</v>
      </c>
      <c r="DA30" s="3"/>
      <c r="DB30" s="3"/>
      <c r="DC30" s="4"/>
      <c r="DD30" s="4"/>
      <c r="DE30" s="6"/>
      <c r="DF30" s="6"/>
      <c r="DG30" s="33" t="str">
        <f t="shared" si="31"/>
        <v/>
      </c>
      <c r="DH30" s="42"/>
      <c r="DI30" s="3"/>
      <c r="DJ30" s="37" t="str">
        <f t="shared" si="32"/>
        <v/>
      </c>
      <c r="DK30" s="3"/>
      <c r="DL30" s="3"/>
      <c r="DM30" s="4"/>
      <c r="DN30" s="4"/>
      <c r="DO30" s="6"/>
      <c r="DP30" s="6"/>
      <c r="DQ30" s="33" t="str">
        <f t="shared" si="33"/>
        <v/>
      </c>
      <c r="DR30" s="42"/>
      <c r="DS30" s="3"/>
      <c r="DT30" s="37" t="str">
        <f t="shared" si="34"/>
        <v/>
      </c>
      <c r="DU30" s="3"/>
      <c r="DV30" s="3"/>
      <c r="DW30" s="4"/>
      <c r="DX30" s="4"/>
      <c r="DY30" s="6"/>
      <c r="DZ30" s="6"/>
      <c r="EA30" s="33" t="str">
        <f t="shared" si="35"/>
        <v/>
      </c>
      <c r="EB30" s="42"/>
      <c r="EC30" s="3"/>
      <c r="ED30" s="37" t="str">
        <f t="shared" si="36"/>
        <v/>
      </c>
      <c r="EE30" s="3"/>
      <c r="EF30" s="3"/>
      <c r="EG30" s="4"/>
      <c r="EH30" s="4"/>
      <c r="EI30" s="6"/>
      <c r="EJ30" s="6"/>
      <c r="EK30" s="33" t="str">
        <f t="shared" si="37"/>
        <v/>
      </c>
      <c r="EL30" s="42"/>
      <c r="EM30" s="3"/>
      <c r="EN30" s="37" t="str">
        <f t="shared" si="38"/>
        <v/>
      </c>
      <c r="EO30" s="3"/>
      <c r="EP30" s="3"/>
      <c r="EQ30" s="4"/>
      <c r="ER30" s="4"/>
      <c r="ES30" s="6"/>
      <c r="ET30" s="6"/>
      <c r="EU30" s="33" t="str">
        <f t="shared" si="39"/>
        <v/>
      </c>
      <c r="EV30" s="42"/>
      <c r="EW30" s="3"/>
      <c r="EX30" s="37" t="str">
        <f t="shared" si="40"/>
        <v/>
      </c>
      <c r="EY30" s="3"/>
      <c r="EZ30" s="3"/>
      <c r="FA30" s="4"/>
      <c r="FB30" s="4"/>
      <c r="FC30" s="6"/>
      <c r="FD30" s="6"/>
      <c r="FE30" s="33" t="str">
        <f t="shared" si="41"/>
        <v/>
      </c>
      <c r="FF30" s="42"/>
      <c r="FG30" s="3"/>
      <c r="FH30" s="37" t="str">
        <f t="shared" si="42"/>
        <v/>
      </c>
      <c r="FI30" s="3"/>
      <c r="FJ30" s="3"/>
      <c r="FM30" s="54">
        <f t="shared" si="45"/>
        <v>0</v>
      </c>
      <c r="FN30" s="54">
        <f t="shared" si="45"/>
        <v>0</v>
      </c>
      <c r="FO30" s="471">
        <f t="shared" si="43"/>
        <v>0</v>
      </c>
      <c r="FP30" s="471">
        <f t="shared" si="43"/>
        <v>0</v>
      </c>
    </row>
    <row r="31" spans="2:174" ht="42" customHeight="1">
      <c r="B31" s="3"/>
      <c r="C31" s="3"/>
      <c r="D31" s="3"/>
      <c r="E31" s="4"/>
      <c r="F31" s="123" t="str">
        <f t="shared" si="1"/>
        <v/>
      </c>
      <c r="G31" s="123" t="str">
        <f t="shared" si="2"/>
        <v/>
      </c>
      <c r="H31" s="123" t="str">
        <f t="shared" si="46"/>
        <v/>
      </c>
      <c r="I31" s="123" t="str">
        <f t="shared" si="47"/>
        <v/>
      </c>
      <c r="J31" s="123" t="str">
        <f t="shared" si="48"/>
        <v/>
      </c>
      <c r="K31" s="123" t="str">
        <f t="shared" si="4"/>
        <v/>
      </c>
      <c r="L31" s="123" t="str">
        <f t="shared" si="5"/>
        <v/>
      </c>
      <c r="M31" s="123" t="str">
        <f t="shared" si="6"/>
        <v/>
      </c>
      <c r="N31" s="123" t="str">
        <f t="shared" si="7"/>
        <v/>
      </c>
      <c r="O31" s="123" t="str">
        <f t="shared" si="8"/>
        <v/>
      </c>
      <c r="P31" s="123" t="str">
        <f t="shared" si="9"/>
        <v/>
      </c>
      <c r="Q31" s="123" t="str">
        <f t="shared" si="10"/>
        <v/>
      </c>
      <c r="R31" s="76" t="e">
        <f t="shared" si="11"/>
        <v>#DIV/0!</v>
      </c>
      <c r="S31" s="4"/>
      <c r="T31" s="4"/>
      <c r="U31" s="4"/>
      <c r="V31" s="4"/>
      <c r="W31" s="77" t="e">
        <f t="shared" si="12"/>
        <v>#DIV/0!</v>
      </c>
      <c r="X31" s="77" t="e">
        <f t="shared" si="13"/>
        <v>#DIV/0!</v>
      </c>
      <c r="Y31" s="77" t="e" cm="1">
        <f t="array" ref="Y31">_xlfn.IFS(R31&gt;=0.8,5,R31&gt;=0.6,3,R31&gt;=0.2,1,R31&lt;0.2,0)</f>
        <v>#DIV/0!</v>
      </c>
      <c r="Z31" s="140" t="e">
        <f t="shared" si="49"/>
        <v>#DIV/0!</v>
      </c>
      <c r="AA31" s="5"/>
      <c r="AB31" s="142"/>
      <c r="AC31" s="5"/>
      <c r="AD31" s="5"/>
      <c r="AE31" s="5"/>
      <c r="AF31" s="5"/>
      <c r="AG31" s="5"/>
      <c r="AH31" s="5"/>
      <c r="AI31" s="5"/>
      <c r="AJ31" s="5"/>
      <c r="AK31" s="5"/>
      <c r="AL31" s="5"/>
      <c r="AM31" s="5"/>
      <c r="AN31" s="126" t="e">
        <f>IF(AND(Z31&gt;Summary!$C$5, Z31&lt;=Summary!$D$5),Summary!$B$5,IF(AND(Z31&gt;Summary!$C$6, Z31&lt;=Summary!$D$6),Summary!$B$6,IF(AND(Z31&gt;Summary!$C$7, Z31&lt;=Summary!$D$7),Summary!$B$7,Summary!$B$8)))</f>
        <v>#DIV/0!</v>
      </c>
      <c r="AO31" s="14"/>
      <c r="AP31" s="14"/>
      <c r="AQ31" s="14"/>
      <c r="AR31" s="14"/>
      <c r="AS31" s="14"/>
      <c r="AT31" s="29"/>
      <c r="AU31" s="4"/>
      <c r="AV31" s="4"/>
      <c r="AW31" s="6"/>
      <c r="AX31" s="6"/>
      <c r="AY31" s="33" t="str">
        <f t="shared" si="19"/>
        <v/>
      </c>
      <c r="AZ31" s="42"/>
      <c r="BA31" s="3"/>
      <c r="BB31" s="37" t="str">
        <f t="shared" si="20"/>
        <v/>
      </c>
      <c r="BC31" s="3"/>
      <c r="BD31" s="3"/>
      <c r="BE31" s="4"/>
      <c r="BF31" s="4"/>
      <c r="BG31" s="6"/>
      <c r="BH31" s="6"/>
      <c r="BI31" s="33" t="str">
        <f t="shared" si="21"/>
        <v/>
      </c>
      <c r="BJ31" s="42"/>
      <c r="BK31" s="3"/>
      <c r="BL31" s="37" t="str">
        <f t="shared" si="22"/>
        <v/>
      </c>
      <c r="BM31" s="3"/>
      <c r="BN31" s="3"/>
      <c r="BO31" s="4"/>
      <c r="BP31" s="4"/>
      <c r="BQ31" s="6"/>
      <c r="BR31" s="6"/>
      <c r="BS31" s="33" t="str">
        <f t="shared" si="23"/>
        <v/>
      </c>
      <c r="BT31" s="42"/>
      <c r="BU31" s="3"/>
      <c r="BV31" s="37" t="str">
        <f t="shared" si="24"/>
        <v/>
      </c>
      <c r="BW31" s="3"/>
      <c r="BX31" s="3"/>
      <c r="BY31" s="4"/>
      <c r="BZ31" s="4"/>
      <c r="CA31" s="6"/>
      <c r="CB31" s="6"/>
      <c r="CC31" s="33" t="str">
        <f t="shared" si="25"/>
        <v/>
      </c>
      <c r="CD31" s="42"/>
      <c r="CE31" s="3"/>
      <c r="CF31" s="37" t="str">
        <f t="shared" si="26"/>
        <v/>
      </c>
      <c r="CG31" s="3"/>
      <c r="CH31" s="3"/>
      <c r="CI31" s="4"/>
      <c r="CJ31" s="4"/>
      <c r="CK31" s="6"/>
      <c r="CL31" s="6"/>
      <c r="CM31" s="33" t="str">
        <f t="shared" si="27"/>
        <v/>
      </c>
      <c r="CN31" s="42"/>
      <c r="CO31" s="3"/>
      <c r="CP31" s="37" t="str">
        <f t="shared" si="28"/>
        <v/>
      </c>
      <c r="CQ31" s="3"/>
      <c r="CR31" s="3"/>
      <c r="CS31" s="4"/>
      <c r="CT31" s="4"/>
      <c r="CU31" s="6"/>
      <c r="CV31" s="6"/>
      <c r="CW31" s="33" t="str">
        <f t="shared" si="29"/>
        <v/>
      </c>
      <c r="CX31" s="42"/>
      <c r="CY31" s="3"/>
      <c r="CZ31" s="37" t="str">
        <f t="shared" si="30"/>
        <v/>
      </c>
      <c r="DA31" s="3"/>
      <c r="DB31" s="3"/>
      <c r="DC31" s="4"/>
      <c r="DD31" s="4"/>
      <c r="DE31" s="6"/>
      <c r="DF31" s="6"/>
      <c r="DG31" s="33" t="str">
        <f t="shared" si="31"/>
        <v/>
      </c>
      <c r="DH31" s="42"/>
      <c r="DI31" s="3"/>
      <c r="DJ31" s="37" t="str">
        <f t="shared" si="32"/>
        <v/>
      </c>
      <c r="DK31" s="3"/>
      <c r="DL31" s="3"/>
      <c r="DM31" s="4"/>
      <c r="DN31" s="4"/>
      <c r="DO31" s="6"/>
      <c r="DP31" s="6"/>
      <c r="DQ31" s="33" t="str">
        <f t="shared" si="33"/>
        <v/>
      </c>
      <c r="DR31" s="42"/>
      <c r="DS31" s="3"/>
      <c r="DT31" s="37" t="str">
        <f t="shared" si="34"/>
        <v/>
      </c>
      <c r="DU31" s="3"/>
      <c r="DV31" s="3"/>
      <c r="DW31" s="4"/>
      <c r="DX31" s="4"/>
      <c r="DY31" s="6"/>
      <c r="DZ31" s="6"/>
      <c r="EA31" s="33" t="str">
        <f t="shared" si="35"/>
        <v/>
      </c>
      <c r="EB31" s="42"/>
      <c r="EC31" s="3"/>
      <c r="ED31" s="37" t="str">
        <f t="shared" si="36"/>
        <v/>
      </c>
      <c r="EE31" s="3"/>
      <c r="EF31" s="3"/>
      <c r="EG31" s="4"/>
      <c r="EH31" s="4"/>
      <c r="EI31" s="6"/>
      <c r="EJ31" s="6"/>
      <c r="EK31" s="33" t="str">
        <f t="shared" si="37"/>
        <v/>
      </c>
      <c r="EL31" s="42"/>
      <c r="EM31" s="3"/>
      <c r="EN31" s="37" t="str">
        <f t="shared" si="38"/>
        <v/>
      </c>
      <c r="EO31" s="3"/>
      <c r="EP31" s="3"/>
      <c r="EQ31" s="4"/>
      <c r="ER31" s="4"/>
      <c r="ES31" s="6"/>
      <c r="ET31" s="6"/>
      <c r="EU31" s="33" t="str">
        <f t="shared" si="39"/>
        <v/>
      </c>
      <c r="EV31" s="42"/>
      <c r="EW31" s="3"/>
      <c r="EX31" s="37" t="str">
        <f t="shared" si="40"/>
        <v/>
      </c>
      <c r="EY31" s="3"/>
      <c r="EZ31" s="3"/>
      <c r="FA31" s="4"/>
      <c r="FB31" s="4"/>
      <c r="FC31" s="6"/>
      <c r="FD31" s="6"/>
      <c r="FE31" s="33" t="str">
        <f t="shared" si="41"/>
        <v/>
      </c>
      <c r="FF31" s="42"/>
      <c r="FG31" s="3"/>
      <c r="FH31" s="37" t="str">
        <f t="shared" si="42"/>
        <v/>
      </c>
      <c r="FI31" s="3"/>
      <c r="FJ31" s="3"/>
      <c r="FM31" s="54">
        <f t="shared" si="45"/>
        <v>0</v>
      </c>
      <c r="FN31" s="54">
        <f t="shared" si="45"/>
        <v>0</v>
      </c>
      <c r="FO31" s="471">
        <f t="shared" si="43"/>
        <v>0</v>
      </c>
      <c r="FP31" s="471">
        <f t="shared" si="43"/>
        <v>0</v>
      </c>
    </row>
    <row r="32" spans="2:174">
      <c r="E32" s="52"/>
      <c r="S32" s="52"/>
      <c r="T32" s="52"/>
      <c r="U32" s="52"/>
      <c r="V32" s="52"/>
      <c r="W32" s="52"/>
      <c r="X32" s="52"/>
      <c r="Y32" s="52"/>
      <c r="Z32" s="52"/>
    </row>
    <row r="33" spans="2:46" ht="42" customHeight="1">
      <c r="B33" s="27" t="s">
        <v>671</v>
      </c>
      <c r="C33" s="27" t="s">
        <v>445</v>
      </c>
      <c r="D33" s="27"/>
      <c r="E33" s="28"/>
      <c r="F33" s="28" t="s">
        <v>182</v>
      </c>
      <c r="G33" s="28" t="s">
        <v>182</v>
      </c>
      <c r="H33" s="28" t="s">
        <v>182</v>
      </c>
      <c r="I33" s="28" t="s">
        <v>182</v>
      </c>
      <c r="J33" s="28" t="s">
        <v>182</v>
      </c>
      <c r="K33" s="28" t="s">
        <v>182</v>
      </c>
      <c r="L33" s="28" t="s">
        <v>182</v>
      </c>
      <c r="M33" s="28" t="s">
        <v>182</v>
      </c>
      <c r="N33" s="28" t="s">
        <v>182</v>
      </c>
      <c r="O33" s="28" t="s">
        <v>182</v>
      </c>
      <c r="P33" s="28" t="s">
        <v>182</v>
      </c>
      <c r="Q33" s="28" t="s">
        <v>182</v>
      </c>
      <c r="R33" s="28" t="s">
        <v>182</v>
      </c>
      <c r="S33" s="28"/>
      <c r="T33" s="28"/>
      <c r="U33" s="28"/>
      <c r="V33" s="28"/>
      <c r="W33" s="28" t="s">
        <v>182</v>
      </c>
      <c r="X33" s="28" t="s">
        <v>182</v>
      </c>
      <c r="Y33" s="28" t="s">
        <v>182</v>
      </c>
      <c r="Z33" s="28" t="s">
        <v>182</v>
      </c>
      <c r="AA33" s="29"/>
      <c r="AB33" s="29"/>
      <c r="AC33" s="29"/>
      <c r="AD33" s="29"/>
      <c r="AE33" s="29"/>
      <c r="AF33" s="29"/>
      <c r="AG33" s="29"/>
      <c r="AH33" s="29"/>
      <c r="AI33" s="29"/>
      <c r="AJ33" s="29"/>
      <c r="AK33" s="29"/>
      <c r="AL33" s="29"/>
      <c r="AM33" s="29"/>
      <c r="AN33" s="29"/>
      <c r="AO33" s="14"/>
      <c r="AP33" s="44"/>
      <c r="AQ33" s="44"/>
      <c r="AR33" s="44"/>
      <c r="AS33" s="44"/>
      <c r="AT33" s="44"/>
    </row>
    <row r="34" spans="2:46" ht="42" customHeight="1">
      <c r="B34" s="27" t="s">
        <v>672</v>
      </c>
      <c r="C34" s="27" t="s">
        <v>445</v>
      </c>
      <c r="D34" s="27"/>
      <c r="E34" s="28"/>
      <c r="F34" s="28" t="s">
        <v>182</v>
      </c>
      <c r="G34" s="28" t="s">
        <v>182</v>
      </c>
      <c r="H34" s="28" t="s">
        <v>182</v>
      </c>
      <c r="I34" s="28" t="s">
        <v>182</v>
      </c>
      <c r="J34" s="28" t="s">
        <v>182</v>
      </c>
      <c r="K34" s="28" t="s">
        <v>182</v>
      </c>
      <c r="L34" s="28" t="s">
        <v>182</v>
      </c>
      <c r="M34" s="28" t="s">
        <v>182</v>
      </c>
      <c r="N34" s="28" t="s">
        <v>182</v>
      </c>
      <c r="O34" s="28" t="s">
        <v>182</v>
      </c>
      <c r="P34" s="28" t="s">
        <v>182</v>
      </c>
      <c r="Q34" s="28" t="s">
        <v>182</v>
      </c>
      <c r="R34" s="28" t="s">
        <v>182</v>
      </c>
      <c r="S34" s="28"/>
      <c r="T34" s="28"/>
      <c r="U34" s="28"/>
      <c r="V34" s="28"/>
      <c r="W34" s="28" t="s">
        <v>182</v>
      </c>
      <c r="X34" s="28" t="s">
        <v>182</v>
      </c>
      <c r="Y34" s="28" t="s">
        <v>182</v>
      </c>
      <c r="Z34" s="28" t="s">
        <v>182</v>
      </c>
      <c r="AA34" s="29"/>
      <c r="AB34" s="29"/>
      <c r="AC34" s="29"/>
      <c r="AD34" s="29"/>
      <c r="AE34" s="29"/>
      <c r="AF34" s="29"/>
      <c r="AG34" s="29"/>
      <c r="AH34" s="29"/>
      <c r="AI34" s="29"/>
      <c r="AJ34" s="29"/>
      <c r="AK34" s="29"/>
      <c r="AL34" s="29"/>
      <c r="AM34" s="29"/>
      <c r="AN34" s="29"/>
      <c r="AO34" s="14"/>
      <c r="AP34" s="44"/>
      <c r="AQ34" s="44"/>
      <c r="AR34" s="44"/>
      <c r="AS34" s="44"/>
      <c r="AT34" s="44"/>
    </row>
    <row r="35" spans="2:46" ht="42" customHeight="1">
      <c r="B35" s="3"/>
      <c r="C35" s="27"/>
      <c r="D35" s="27"/>
      <c r="E35" s="28"/>
      <c r="F35" s="4"/>
      <c r="G35" s="4"/>
      <c r="H35" s="4"/>
      <c r="I35" s="4"/>
      <c r="J35" s="4"/>
      <c r="K35" s="4"/>
      <c r="L35" s="4"/>
      <c r="M35" s="4"/>
      <c r="N35" s="4"/>
      <c r="O35" s="4"/>
      <c r="P35" s="4"/>
      <c r="Q35" s="4"/>
      <c r="R35" s="4"/>
      <c r="S35" s="28"/>
      <c r="T35" s="28"/>
      <c r="U35" s="28"/>
      <c r="V35" s="28"/>
      <c r="W35" s="28"/>
      <c r="X35" s="28"/>
      <c r="Y35" s="28"/>
      <c r="Z35" s="28"/>
      <c r="AA35" s="5"/>
      <c r="AB35" s="5"/>
      <c r="AC35" s="5"/>
      <c r="AD35" s="5"/>
      <c r="AE35" s="5"/>
      <c r="AF35" s="5"/>
      <c r="AG35" s="5"/>
      <c r="AH35" s="5"/>
      <c r="AI35" s="5"/>
      <c r="AJ35" s="5"/>
      <c r="AK35" s="5"/>
      <c r="AL35" s="5"/>
      <c r="AM35" s="5"/>
      <c r="AN35" s="5"/>
      <c r="AO35" s="14"/>
      <c r="AP35" s="44"/>
      <c r="AQ35" s="44"/>
      <c r="AR35" s="44"/>
      <c r="AS35" s="44"/>
      <c r="AT35" s="44"/>
    </row>
  </sheetData>
  <autoFilter ref="B9:FJ31" xr:uid="{65F65485-6D32-4FC5-9323-0B02EFD0A48B}"/>
  <sortState xmlns:xlrd2="http://schemas.microsoft.com/office/spreadsheetml/2017/richdata2" ref="B10:C26">
    <sortCondition ref="B10:B26"/>
  </sortState>
  <mergeCells count="2">
    <mergeCell ref="AC8:AD8"/>
    <mergeCell ref="AE8:AF8"/>
  </mergeCells>
  <phoneticPr fontId="10"/>
  <conditionalFormatting sqref="Z10:Z31">
    <cfRule type="cellIs" dxfId="998" priority="19" operator="lessThan">
      <formula>60</formula>
    </cfRule>
  </conditionalFormatting>
  <conditionalFormatting sqref="AY10:AY31">
    <cfRule type="cellIs" dxfId="997" priority="38" operator="lessThan">
      <formula>0.6</formula>
    </cfRule>
  </conditionalFormatting>
  <conditionalFormatting sqref="BB10:BB31">
    <cfRule type="cellIs" dxfId="996" priority="36" operator="greaterThan">
      <formula>8</formula>
    </cfRule>
  </conditionalFormatting>
  <conditionalFormatting sqref="BD10:BD31 BN10:BN31 BX10:BX31 CH10:CH31 CR10:CR31 DB10:DB31 DL10:DL31 DV10:DV31 EF10:EF31 EP10:EP31 EZ10:EZ31 FJ10:FJ31">
    <cfRule type="cellIs" dxfId="995" priority="37" operator="notEqual">
      <formula>BC10</formula>
    </cfRule>
  </conditionalFormatting>
  <conditionalFormatting sqref="BF10:BF31">
    <cfRule type="cellIs" dxfId="994" priority="26" operator="equal">
      <formula>"×"</formula>
    </cfRule>
  </conditionalFormatting>
  <conditionalFormatting sqref="BI10:BI31">
    <cfRule type="cellIs" dxfId="993" priority="29" operator="lessThan">
      <formula>0.6</formula>
    </cfRule>
  </conditionalFormatting>
  <conditionalFormatting sqref="BL10:BL31">
    <cfRule type="cellIs" dxfId="992" priority="28" operator="greaterThan">
      <formula>8</formula>
    </cfRule>
  </conditionalFormatting>
  <conditionalFormatting sqref="BP10:BP31">
    <cfRule type="cellIs" dxfId="991" priority="25" operator="equal">
      <formula>"×"</formula>
    </cfRule>
  </conditionalFormatting>
  <conditionalFormatting sqref="BS10:BS31">
    <cfRule type="cellIs" dxfId="990" priority="31" operator="lessThan">
      <formula>0.6</formula>
    </cfRule>
  </conditionalFormatting>
  <conditionalFormatting sqref="BV10:BV31">
    <cfRule type="cellIs" dxfId="989" priority="30" operator="greaterThan">
      <formula>8</formula>
    </cfRule>
  </conditionalFormatting>
  <conditionalFormatting sqref="BZ10:BZ17 AV10:AV31 BY18 BZ19:BZ31">
    <cfRule type="cellIs" dxfId="988" priority="27" operator="equal">
      <formula>"×"</formula>
    </cfRule>
  </conditionalFormatting>
  <conditionalFormatting sqref="CC10:CC31">
    <cfRule type="cellIs" dxfId="987" priority="33" operator="lessThan">
      <formula>0.6</formula>
    </cfRule>
  </conditionalFormatting>
  <conditionalFormatting sqref="CF10:CF31">
    <cfRule type="cellIs" dxfId="986" priority="32" operator="greaterThan">
      <formula>8</formula>
    </cfRule>
  </conditionalFormatting>
  <conditionalFormatting sqref="CJ10:CJ31">
    <cfRule type="cellIs" dxfId="985" priority="23" operator="equal">
      <formula>"×"</formula>
    </cfRule>
  </conditionalFormatting>
  <conditionalFormatting sqref="CM10:CM31">
    <cfRule type="cellIs" dxfId="984" priority="35" operator="lessThan">
      <formula>0.6</formula>
    </cfRule>
  </conditionalFormatting>
  <conditionalFormatting sqref="CP10:CP31">
    <cfRule type="cellIs" dxfId="983" priority="34" operator="greaterThan">
      <formula>8</formula>
    </cfRule>
  </conditionalFormatting>
  <conditionalFormatting sqref="CT10:CT31">
    <cfRule type="cellIs" dxfId="982" priority="20" operator="equal">
      <formula>"×"</formula>
    </cfRule>
  </conditionalFormatting>
  <conditionalFormatting sqref="CW10:CW31">
    <cfRule type="cellIs" dxfId="981" priority="22" operator="lessThan">
      <formula>0.6</formula>
    </cfRule>
  </conditionalFormatting>
  <conditionalFormatting sqref="CZ10:CZ31">
    <cfRule type="cellIs" dxfId="980" priority="21" operator="greaterThan">
      <formula>8</formula>
    </cfRule>
  </conditionalFormatting>
  <conditionalFormatting sqref="DD10:DD31">
    <cfRule type="cellIs" dxfId="979" priority="8" operator="equal">
      <formula>"×"</formula>
    </cfRule>
  </conditionalFormatting>
  <conditionalFormatting sqref="DG10:DG31">
    <cfRule type="cellIs" dxfId="978" priority="18" operator="lessThan">
      <formula>0.6</formula>
    </cfRule>
  </conditionalFormatting>
  <conditionalFormatting sqref="DJ10:DJ31">
    <cfRule type="cellIs" dxfId="977" priority="17" operator="greaterThan">
      <formula>8</formula>
    </cfRule>
  </conditionalFormatting>
  <conditionalFormatting sqref="DN10:DN31">
    <cfRule type="cellIs" dxfId="976" priority="7" operator="equal">
      <formula>"×"</formula>
    </cfRule>
  </conditionalFormatting>
  <conditionalFormatting sqref="DQ10:DQ31">
    <cfRule type="cellIs" dxfId="975" priority="10" operator="lessThan">
      <formula>0.6</formula>
    </cfRule>
  </conditionalFormatting>
  <conditionalFormatting sqref="DT10:DT31">
    <cfRule type="cellIs" dxfId="974" priority="9" operator="greaterThan">
      <formula>8</formula>
    </cfRule>
  </conditionalFormatting>
  <conditionalFormatting sqref="DX10:DX31">
    <cfRule type="cellIs" dxfId="973" priority="6" operator="equal">
      <formula>"×"</formula>
    </cfRule>
  </conditionalFormatting>
  <conditionalFormatting sqref="EA10:EA31">
    <cfRule type="cellIs" dxfId="972" priority="12" operator="lessThan">
      <formula>0.6</formula>
    </cfRule>
  </conditionalFormatting>
  <conditionalFormatting sqref="ED10:ED31">
    <cfRule type="cellIs" dxfId="971" priority="11" operator="greaterThan">
      <formula>8</formula>
    </cfRule>
  </conditionalFormatting>
  <conditionalFormatting sqref="EH10:EH31">
    <cfRule type="cellIs" dxfId="970" priority="5" operator="equal">
      <formula>"×"</formula>
    </cfRule>
  </conditionalFormatting>
  <conditionalFormatting sqref="EK10:EK31">
    <cfRule type="cellIs" dxfId="969" priority="14" operator="lessThan">
      <formula>0.6</formula>
    </cfRule>
  </conditionalFormatting>
  <conditionalFormatting sqref="EN10:EN31">
    <cfRule type="cellIs" dxfId="968" priority="13" operator="greaterThan">
      <formula>8</formula>
    </cfRule>
  </conditionalFormatting>
  <conditionalFormatting sqref="ER10:ER31">
    <cfRule type="cellIs" dxfId="967" priority="4" operator="equal">
      <formula>"×"</formula>
    </cfRule>
  </conditionalFormatting>
  <conditionalFormatting sqref="EU10:EU31">
    <cfRule type="cellIs" dxfId="966" priority="16" operator="lessThan">
      <formula>0.6</formula>
    </cfRule>
  </conditionalFormatting>
  <conditionalFormatting sqref="EX10:EX31">
    <cfRule type="cellIs" dxfId="965" priority="15" operator="greaterThan">
      <formula>8</formula>
    </cfRule>
  </conditionalFormatting>
  <conditionalFormatting sqref="FB10:FB31">
    <cfRule type="cellIs" dxfId="964" priority="1" operator="equal">
      <formula>"×"</formula>
    </cfRule>
  </conditionalFormatting>
  <conditionalFormatting sqref="FE10:FE31">
    <cfRule type="cellIs" dxfId="963" priority="3" operator="lessThan">
      <formula>0.6</formula>
    </cfRule>
  </conditionalFormatting>
  <conditionalFormatting sqref="FH10:FH31">
    <cfRule type="cellIs" dxfId="962" priority="2" operator="greaterThan">
      <formula>8</formula>
    </cfRule>
  </conditionalFormatting>
  <dataValidations count="2">
    <dataValidation type="list" allowBlank="1" showInputMessage="1" showErrorMessage="1" sqref="AO10:AP31 AE28 AE10:AE11 AE15 AE17:AE18 AE21 AE25 AQ10:AS15 AO33:AT35 AQ17:AS31" xr:uid="{D1518292-9A9D-4311-A9A1-A2C3D3016784}">
      <formula1>"○,△,×"</formula1>
    </dataValidation>
    <dataValidation type="list" allowBlank="1" showInputMessage="1" showErrorMessage="1" sqref="FB10:FB31 BF10:BF31 BP10:BP31 AV10:AV31 BZ10:BZ31 CT10:CT31 DD10:DD31 DN10:DN31 DX10:DX31 EH10:EH31 ER10:ER31 CJ10:CJ31" xr:uid="{7639C1B2-6745-4FAF-9F45-68152A6ED033}">
      <formula1>"○,×"</formula1>
    </dataValidation>
  </dataValidation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FB2F4-DE92-4497-947E-392FFA06D7A7}">
  <dimension ref="B1:FS35"/>
  <sheetViews>
    <sheetView showGridLines="0" tabSelected="1" zoomScale="85" zoomScaleNormal="85" workbookViewId="0">
      <pane xSplit="5" ySplit="9" topLeftCell="F10" activePane="bottomRight" state="frozen"/>
      <selection pane="bottomRight" activeCell="AA23" sqref="AA23"/>
      <selection pane="bottomLeft" activeCell="A10" sqref="A10"/>
      <selection pane="topRight" activeCell="F1" sqref="F1"/>
    </sheetView>
  </sheetViews>
  <sheetFormatPr defaultRowHeight="11.1" outlineLevelCol="1"/>
  <cols>
    <col min="1" max="1" width="2.5703125" customWidth="1"/>
    <col min="2" max="2" width="24.42578125" bestFit="1" customWidth="1"/>
    <col min="3" max="3" width="8.140625" bestFit="1" customWidth="1"/>
    <col min="4" max="4" width="8.140625" customWidth="1"/>
    <col min="5" max="5" width="7.85546875" customWidth="1"/>
    <col min="6" max="17" width="6.85546875" customWidth="1" outlineLevel="1"/>
    <col min="18" max="18" width="10.140625" customWidth="1" outlineLevel="1"/>
    <col min="19" max="22" width="7.85546875" customWidth="1" outlineLevel="1"/>
    <col min="23" max="25" width="7.85546875" customWidth="1"/>
    <col min="26" max="26" width="11.7109375" customWidth="1"/>
    <col min="27" max="28" width="35.42578125" customWidth="1"/>
    <col min="29" max="29" width="10.140625" customWidth="1"/>
    <col min="30" max="30" width="35.42578125" style="99" customWidth="1"/>
    <col min="31" max="31" width="9.140625" customWidth="1"/>
    <col min="32" max="32" width="35.42578125" customWidth="1"/>
    <col min="33" max="33" width="13" bestFit="1" customWidth="1"/>
    <col min="34" max="34" width="13.42578125" bestFit="1" customWidth="1"/>
    <col min="35" max="35" width="10.42578125" bestFit="1" customWidth="1"/>
    <col min="36" max="36" width="13.42578125" bestFit="1" customWidth="1"/>
    <col min="37" max="37" width="9.7109375" bestFit="1" customWidth="1"/>
    <col min="38" max="38" width="58.140625" customWidth="1"/>
    <col min="39" max="39" width="46" customWidth="1"/>
    <col min="40" max="40" width="12.85546875" customWidth="1"/>
    <col min="41" max="45" width="11" customWidth="1"/>
    <col min="46" max="46" width="35.42578125" style="99" customWidth="1"/>
    <col min="47" max="166" width="10.5703125" customWidth="1"/>
  </cols>
  <sheetData>
    <row r="1" spans="2:175">
      <c r="AU1" s="121" t="s">
        <v>461</v>
      </c>
      <c r="DM1" s="24" t="s">
        <v>673</v>
      </c>
    </row>
    <row r="2" spans="2:175" ht="15">
      <c r="B2" s="25" t="s">
        <v>113</v>
      </c>
      <c r="C2" s="25"/>
      <c r="D2" s="25"/>
      <c r="E2" s="25"/>
      <c r="F2" s="32" t="s">
        <v>114</v>
      </c>
      <c r="G2" s="16"/>
      <c r="H2" s="16"/>
      <c r="I2" s="16"/>
      <c r="J2" s="16"/>
      <c r="K2" s="16"/>
      <c r="L2" s="70"/>
      <c r="M2" s="16"/>
      <c r="N2" s="16"/>
      <c r="O2" s="71"/>
      <c r="P2" s="1"/>
      <c r="S2" s="25"/>
      <c r="T2" s="25"/>
      <c r="U2" s="25"/>
      <c r="V2" s="25"/>
      <c r="W2" s="25"/>
      <c r="X2" s="25"/>
      <c r="Y2" s="25"/>
      <c r="Z2" s="25"/>
      <c r="AB2" s="54"/>
      <c r="AC2" s="54"/>
      <c r="AD2" s="340"/>
      <c r="AE2" s="54"/>
      <c r="AF2" s="54" t="s">
        <v>187</v>
      </c>
      <c r="AG2" s="54"/>
      <c r="AH2" s="54"/>
      <c r="AI2" s="54"/>
      <c r="AJ2" s="54"/>
      <c r="AK2" s="54"/>
      <c r="AL2" s="54"/>
      <c r="AM2" s="54"/>
      <c r="AN2" s="54"/>
      <c r="BC2">
        <v>2.2000000000000002</v>
      </c>
      <c r="BD2">
        <v>10</v>
      </c>
      <c r="CA2" s="24" t="s">
        <v>674</v>
      </c>
    </row>
    <row r="3" spans="2:175">
      <c r="B3" t="s">
        <v>675</v>
      </c>
      <c r="F3" s="1" t="s">
        <v>14</v>
      </c>
      <c r="H3" t="s">
        <v>116</v>
      </c>
      <c r="O3" s="72"/>
      <c r="P3" s="1"/>
      <c r="Q3" t="s">
        <v>189</v>
      </c>
      <c r="AB3" s="54"/>
      <c r="AC3" s="54"/>
      <c r="AD3" s="340"/>
      <c r="AE3" s="54"/>
      <c r="AF3" s="54" t="s">
        <v>190</v>
      </c>
      <c r="AG3" s="54"/>
      <c r="AH3" s="54"/>
      <c r="AI3" s="54"/>
      <c r="AJ3" s="54"/>
      <c r="AK3" s="54"/>
      <c r="AL3" s="54"/>
      <c r="AM3" s="54"/>
      <c r="AN3" s="54"/>
      <c r="DO3" s="24"/>
    </row>
    <row r="4" spans="2:175">
      <c r="F4" s="1"/>
      <c r="H4" t="s">
        <v>117</v>
      </c>
      <c r="O4" s="72"/>
      <c r="P4" s="1"/>
      <c r="Q4" t="s">
        <v>191</v>
      </c>
      <c r="AF4" t="s">
        <v>192</v>
      </c>
    </row>
    <row r="5" spans="2:175" ht="11.45" thickBot="1">
      <c r="F5" s="1" t="s">
        <v>15</v>
      </c>
      <c r="H5" t="s">
        <v>118</v>
      </c>
      <c r="O5" s="72"/>
      <c r="P5" s="1"/>
      <c r="Q5" t="s">
        <v>193</v>
      </c>
      <c r="AF5" t="s">
        <v>194</v>
      </c>
      <c r="AU5" t="s">
        <v>168</v>
      </c>
    </row>
    <row r="6" spans="2:175" ht="12.95" thickBot="1">
      <c r="B6" s="79" t="s">
        <v>676</v>
      </c>
      <c r="F6" s="2"/>
      <c r="G6" s="17"/>
      <c r="H6" s="17" t="s">
        <v>119</v>
      </c>
      <c r="I6" s="17"/>
      <c r="J6" s="17"/>
      <c r="K6" s="17"/>
      <c r="L6" s="17"/>
      <c r="M6" s="17"/>
      <c r="N6" s="17"/>
      <c r="O6" s="73"/>
      <c r="P6" s="1"/>
      <c r="AF6" t="s">
        <v>196</v>
      </c>
      <c r="AU6" s="10" t="s">
        <v>120</v>
      </c>
      <c r="AV6" s="51"/>
      <c r="AW6" s="11"/>
      <c r="AX6" s="11"/>
      <c r="AY6" s="11"/>
      <c r="AZ6" s="11"/>
      <c r="BA6" s="11"/>
      <c r="BB6" s="11"/>
      <c r="BC6" s="11"/>
      <c r="BD6" s="12"/>
      <c r="BE6" s="10" t="s">
        <v>121</v>
      </c>
      <c r="BF6" s="51"/>
      <c r="BG6" s="11"/>
      <c r="BH6" s="11"/>
      <c r="BI6" s="11"/>
      <c r="BJ6" s="11"/>
      <c r="BK6" s="11"/>
      <c r="BL6" s="11"/>
      <c r="BM6" s="11"/>
      <c r="BN6" s="12"/>
      <c r="BO6" s="10" t="s">
        <v>122</v>
      </c>
      <c r="BP6" s="51"/>
      <c r="BQ6" s="11"/>
      <c r="BR6" s="11"/>
      <c r="BS6" s="11"/>
      <c r="BT6" s="11"/>
      <c r="BU6" s="11"/>
      <c r="BV6" s="11"/>
      <c r="BW6" s="11"/>
      <c r="BX6" s="12"/>
      <c r="BY6" s="10" t="s">
        <v>123</v>
      </c>
      <c r="BZ6" s="51"/>
      <c r="CA6" s="11"/>
      <c r="CB6" s="11"/>
      <c r="CC6" s="11"/>
      <c r="CD6" s="11"/>
      <c r="CE6" s="11"/>
      <c r="CF6" s="11"/>
      <c r="CG6" s="11"/>
      <c r="CH6" s="12"/>
      <c r="CI6" s="10" t="s">
        <v>124</v>
      </c>
      <c r="CJ6" s="51"/>
      <c r="CK6" s="11"/>
      <c r="CL6" s="11"/>
      <c r="CM6" s="11"/>
      <c r="CN6" s="11"/>
      <c r="CO6" s="11"/>
      <c r="CP6" s="11"/>
      <c r="CQ6" s="11"/>
      <c r="CR6" s="12"/>
      <c r="CS6" s="10" t="s">
        <v>125</v>
      </c>
      <c r="CT6" s="51"/>
      <c r="CU6" s="11"/>
      <c r="CV6" s="11"/>
      <c r="CW6" s="11"/>
      <c r="CX6" s="11"/>
      <c r="CY6" s="11"/>
      <c r="CZ6" s="11"/>
      <c r="DA6" s="11"/>
      <c r="DB6" s="12"/>
      <c r="DC6" s="10" t="s">
        <v>126</v>
      </c>
      <c r="DD6" s="51"/>
      <c r="DE6" s="11"/>
      <c r="DF6" s="11"/>
      <c r="DG6" s="11"/>
      <c r="DH6" s="11"/>
      <c r="DI6" s="11"/>
      <c r="DJ6" s="11"/>
      <c r="DK6" s="11"/>
      <c r="DL6" s="12"/>
      <c r="DM6" s="10" t="s">
        <v>127</v>
      </c>
      <c r="DN6" s="51"/>
      <c r="DO6" s="11"/>
      <c r="DP6" s="11"/>
      <c r="DQ6" s="11"/>
      <c r="DR6" s="11"/>
      <c r="DS6" s="11"/>
      <c r="DT6" s="11"/>
      <c r="DU6" s="11"/>
      <c r="DV6" s="12"/>
      <c r="DW6" s="10" t="s">
        <v>128</v>
      </c>
      <c r="DX6" s="51"/>
      <c r="DY6" s="11"/>
      <c r="DZ6" s="11"/>
      <c r="EA6" s="11"/>
      <c r="EB6" s="11"/>
      <c r="EC6" s="11"/>
      <c r="ED6" s="11"/>
      <c r="EE6" s="11"/>
      <c r="EF6" s="12"/>
      <c r="EG6" s="10" t="s">
        <v>129</v>
      </c>
      <c r="EH6" s="51"/>
      <c r="EI6" s="11"/>
      <c r="EJ6" s="11"/>
      <c r="EK6" s="11"/>
      <c r="EL6" s="11"/>
      <c r="EM6" s="11"/>
      <c r="EN6" s="11"/>
      <c r="EO6" s="11"/>
      <c r="EP6" s="12"/>
      <c r="EQ6" s="10" t="s">
        <v>130</v>
      </c>
      <c r="ER6" s="51"/>
      <c r="ES6" s="11"/>
      <c r="ET6" s="11"/>
      <c r="EU6" s="11"/>
      <c r="EV6" s="11"/>
      <c r="EW6" s="11"/>
      <c r="EX6" s="11"/>
      <c r="EY6" s="11"/>
      <c r="EZ6" s="12"/>
      <c r="FA6" s="10" t="s">
        <v>131</v>
      </c>
      <c r="FB6" s="51"/>
      <c r="FC6" s="11"/>
      <c r="FD6" s="11"/>
      <c r="FE6" s="11"/>
      <c r="FF6" s="11"/>
      <c r="FG6" s="11"/>
      <c r="FH6" s="11"/>
      <c r="FI6" s="11"/>
      <c r="FJ6" s="12"/>
    </row>
    <row r="7" spans="2:175">
      <c r="AH7" s="201">
        <f>AVERAGE(AH10:AH28)</f>
        <v>0.68942341239321625</v>
      </c>
      <c r="AI7" s="206">
        <f>AVERAGE(AI10:AI28)</f>
        <v>10.696949029029561</v>
      </c>
      <c r="AP7">
        <f>COUNTIF(AP10:AP50,"○")</f>
        <v>2</v>
      </c>
      <c r="AQ7">
        <f>COUNTIF(AQ10:AQ50,"○")</f>
        <v>3</v>
      </c>
      <c r="AR7">
        <f>COUNTIF(AR10:AR50,"○")</f>
        <v>5</v>
      </c>
      <c r="AS7">
        <f>COUNTIF(AS10:AS50,"○")</f>
        <v>9</v>
      </c>
      <c r="AU7" s="18" t="s">
        <v>132</v>
      </c>
      <c r="AV7" s="12"/>
      <c r="AW7" s="18" t="s">
        <v>14</v>
      </c>
      <c r="AX7" s="11"/>
      <c r="AY7" s="12"/>
      <c r="AZ7" s="18" t="s">
        <v>15</v>
      </c>
      <c r="BA7" s="11"/>
      <c r="BB7" s="11"/>
      <c r="BC7" s="11"/>
      <c r="BD7" s="12"/>
      <c r="BE7" s="18" t="s">
        <v>132</v>
      </c>
      <c r="BF7" s="12"/>
      <c r="BG7" s="18" t="s">
        <v>14</v>
      </c>
      <c r="BH7" s="11"/>
      <c r="BI7" s="12"/>
      <c r="BJ7" s="18" t="s">
        <v>15</v>
      </c>
      <c r="BK7" s="11"/>
      <c r="BL7" s="11"/>
      <c r="BM7" s="11"/>
      <c r="BN7" s="12"/>
      <c r="BO7" s="18" t="s">
        <v>132</v>
      </c>
      <c r="BP7" s="12"/>
      <c r="BQ7" s="18" t="s">
        <v>14</v>
      </c>
      <c r="BR7" s="11"/>
      <c r="BS7" s="12"/>
      <c r="BT7" s="18" t="s">
        <v>15</v>
      </c>
      <c r="BU7" s="11"/>
      <c r="BV7" s="11"/>
      <c r="BW7" s="11"/>
      <c r="BX7" s="12"/>
      <c r="BY7" s="18" t="s">
        <v>132</v>
      </c>
      <c r="BZ7" s="12"/>
      <c r="CA7" s="18" t="s">
        <v>14</v>
      </c>
      <c r="CB7" s="11"/>
      <c r="CC7" s="12"/>
      <c r="CD7" s="18" t="s">
        <v>15</v>
      </c>
      <c r="CE7" s="11"/>
      <c r="CF7" s="11"/>
      <c r="CG7" s="11"/>
      <c r="CH7" s="12"/>
      <c r="CI7" s="18" t="s">
        <v>132</v>
      </c>
      <c r="CJ7" s="12"/>
      <c r="CK7" s="18" t="s">
        <v>14</v>
      </c>
      <c r="CL7" s="11"/>
      <c r="CM7" s="12"/>
      <c r="CN7" s="18" t="s">
        <v>15</v>
      </c>
      <c r="CO7" s="11"/>
      <c r="CP7" s="11"/>
      <c r="CQ7" s="11"/>
      <c r="CR7" s="12"/>
      <c r="CS7" s="18" t="s">
        <v>132</v>
      </c>
      <c r="CT7" s="12"/>
      <c r="CU7" s="18" t="s">
        <v>14</v>
      </c>
      <c r="CV7" s="11"/>
      <c r="CW7" s="12"/>
      <c r="CX7" s="18" t="s">
        <v>15</v>
      </c>
      <c r="CY7" s="11"/>
      <c r="CZ7" s="11"/>
      <c r="DA7" s="11"/>
      <c r="DB7" s="12"/>
      <c r="DC7" s="18" t="s">
        <v>132</v>
      </c>
      <c r="DD7" s="12"/>
      <c r="DE7" s="18" t="s">
        <v>14</v>
      </c>
      <c r="DF7" s="11"/>
      <c r="DG7" s="12"/>
      <c r="DH7" s="18" t="s">
        <v>15</v>
      </c>
      <c r="DI7" s="11"/>
      <c r="DJ7" s="11"/>
      <c r="DK7" s="11"/>
      <c r="DL7" s="12"/>
      <c r="DM7" s="18" t="s">
        <v>132</v>
      </c>
      <c r="DN7" s="12"/>
      <c r="DO7" s="18" t="s">
        <v>14</v>
      </c>
      <c r="DP7" s="11"/>
      <c r="DQ7" s="12"/>
      <c r="DR7" s="18" t="s">
        <v>15</v>
      </c>
      <c r="DS7" s="11"/>
      <c r="DT7" s="11"/>
      <c r="DU7" s="11"/>
      <c r="DV7" s="12"/>
      <c r="DW7" s="18" t="s">
        <v>132</v>
      </c>
      <c r="DX7" s="12"/>
      <c r="DY7" s="18" t="s">
        <v>14</v>
      </c>
      <c r="DZ7" s="11"/>
      <c r="EA7" s="12"/>
      <c r="EB7" s="18" t="s">
        <v>15</v>
      </c>
      <c r="EC7" s="11"/>
      <c r="ED7" s="11"/>
      <c r="EE7" s="11"/>
      <c r="EF7" s="12"/>
      <c r="EG7" s="18" t="s">
        <v>132</v>
      </c>
      <c r="EH7" s="12"/>
      <c r="EI7" s="18" t="s">
        <v>14</v>
      </c>
      <c r="EJ7" s="11"/>
      <c r="EK7" s="12"/>
      <c r="EL7" s="18" t="s">
        <v>15</v>
      </c>
      <c r="EM7" s="11"/>
      <c r="EN7" s="11"/>
      <c r="EO7" s="11"/>
      <c r="EP7" s="12"/>
      <c r="EQ7" s="18" t="s">
        <v>132</v>
      </c>
      <c r="ER7" s="12"/>
      <c r="ES7" s="18" t="s">
        <v>14</v>
      </c>
      <c r="ET7" s="11"/>
      <c r="EU7" s="12"/>
      <c r="EV7" s="18" t="s">
        <v>15</v>
      </c>
      <c r="EW7" s="11"/>
      <c r="EX7" s="11"/>
      <c r="EY7" s="11"/>
      <c r="EZ7" s="12"/>
      <c r="FA7" s="18" t="s">
        <v>132</v>
      </c>
      <c r="FB7" s="12"/>
      <c r="FC7" s="18" t="s">
        <v>14</v>
      </c>
      <c r="FD7" s="11"/>
      <c r="FE7" s="12"/>
      <c r="FF7" s="18" t="s">
        <v>15</v>
      </c>
      <c r="FG7" s="11"/>
      <c r="FH7" s="11"/>
      <c r="FI7" s="11"/>
      <c r="FJ7" s="12"/>
    </row>
    <row r="8" spans="2:175">
      <c r="B8" s="7"/>
      <c r="C8" s="10"/>
      <c r="D8" s="10"/>
      <c r="E8" s="10"/>
      <c r="F8" s="18" t="s">
        <v>133</v>
      </c>
      <c r="G8" s="11"/>
      <c r="H8" s="11"/>
      <c r="I8" s="11"/>
      <c r="J8" s="11"/>
      <c r="K8" s="11"/>
      <c r="L8" s="11"/>
      <c r="M8" s="11"/>
      <c r="N8" s="11"/>
      <c r="O8" s="11"/>
      <c r="P8" s="11"/>
      <c r="Q8" s="11"/>
      <c r="R8" s="11"/>
      <c r="S8" s="11"/>
      <c r="T8" s="11"/>
      <c r="U8" s="11"/>
      <c r="V8" s="12"/>
      <c r="W8" s="57"/>
      <c r="X8" s="58"/>
      <c r="Y8" s="58"/>
      <c r="Z8" s="56"/>
      <c r="AA8" s="7" t="s">
        <v>134</v>
      </c>
      <c r="AB8" s="7" t="s">
        <v>135</v>
      </c>
      <c r="AC8" s="531" t="s">
        <v>197</v>
      </c>
      <c r="AD8" s="532"/>
      <c r="AE8" s="531" t="s">
        <v>198</v>
      </c>
      <c r="AF8" s="531"/>
      <c r="AG8" s="46"/>
      <c r="AH8" s="46"/>
      <c r="AI8" s="46"/>
      <c r="AJ8" s="46"/>
      <c r="AK8" s="46"/>
      <c r="AL8" s="46"/>
      <c r="AM8" s="46"/>
      <c r="AN8" s="45"/>
      <c r="AO8" s="45"/>
      <c r="AP8" s="45"/>
      <c r="AQ8" s="45"/>
      <c r="AR8" s="45"/>
      <c r="AS8" s="45"/>
      <c r="AT8" s="45"/>
      <c r="AU8" s="13"/>
      <c r="AV8" s="7"/>
      <c r="AW8" s="348" t="s">
        <v>116</v>
      </c>
      <c r="AX8" s="347"/>
      <c r="AY8" s="39"/>
      <c r="AZ8" s="346" t="s">
        <v>136</v>
      </c>
      <c r="BA8" s="38"/>
      <c r="BB8" s="39"/>
      <c r="BC8" s="348" t="s">
        <v>137</v>
      </c>
      <c r="BD8" s="15"/>
      <c r="BE8" s="13"/>
      <c r="BF8" s="7"/>
      <c r="BG8" s="348" t="s">
        <v>116</v>
      </c>
      <c r="BH8" s="347"/>
      <c r="BI8" s="39"/>
      <c r="BJ8" s="346" t="s">
        <v>136</v>
      </c>
      <c r="BK8" s="38"/>
      <c r="BL8" s="39"/>
      <c r="BM8" s="348" t="s">
        <v>137</v>
      </c>
      <c r="BN8" s="15"/>
      <c r="BO8" s="13"/>
      <c r="BP8" s="7"/>
      <c r="BQ8" s="348" t="s">
        <v>116</v>
      </c>
      <c r="BR8" s="347"/>
      <c r="BS8" s="39"/>
      <c r="BT8" s="346" t="s">
        <v>136</v>
      </c>
      <c r="BU8" s="38"/>
      <c r="BV8" s="39"/>
      <c r="BW8" s="348" t="s">
        <v>137</v>
      </c>
      <c r="BX8" s="15"/>
      <c r="BY8" s="13"/>
      <c r="BZ8" s="7"/>
      <c r="CA8" s="348" t="s">
        <v>116</v>
      </c>
      <c r="CB8" s="347"/>
      <c r="CC8" s="39"/>
      <c r="CD8" s="346" t="s">
        <v>136</v>
      </c>
      <c r="CE8" s="38"/>
      <c r="CF8" s="39"/>
      <c r="CG8" s="348" t="s">
        <v>137</v>
      </c>
      <c r="CH8" s="15"/>
      <c r="CI8" s="13"/>
      <c r="CJ8" s="7"/>
      <c r="CK8" s="348" t="s">
        <v>116</v>
      </c>
      <c r="CL8" s="347"/>
      <c r="CM8" s="39"/>
      <c r="CN8" s="346" t="s">
        <v>136</v>
      </c>
      <c r="CO8" s="38"/>
      <c r="CP8" s="39"/>
      <c r="CQ8" s="348" t="s">
        <v>137</v>
      </c>
      <c r="CR8" s="15"/>
      <c r="CS8" s="13"/>
      <c r="CT8" s="7"/>
      <c r="CU8" s="348" t="s">
        <v>116</v>
      </c>
      <c r="CV8" s="347"/>
      <c r="CW8" s="39"/>
      <c r="CX8" s="346" t="s">
        <v>136</v>
      </c>
      <c r="CY8" s="38"/>
      <c r="CZ8" s="39"/>
      <c r="DA8" s="348" t="s">
        <v>137</v>
      </c>
      <c r="DB8" s="15"/>
      <c r="DC8" s="13"/>
      <c r="DD8" s="7"/>
      <c r="DE8" s="348" t="s">
        <v>116</v>
      </c>
      <c r="DF8" s="347"/>
      <c r="DG8" s="39"/>
      <c r="DH8" s="346" t="s">
        <v>136</v>
      </c>
      <c r="DI8" s="38"/>
      <c r="DJ8" s="39"/>
      <c r="DK8" s="348" t="s">
        <v>137</v>
      </c>
      <c r="DL8" s="15"/>
      <c r="DM8" s="13"/>
      <c r="DN8" s="7"/>
      <c r="DO8" s="348" t="s">
        <v>116</v>
      </c>
      <c r="DP8" s="347"/>
      <c r="DQ8" s="39"/>
      <c r="DR8" s="346" t="s">
        <v>136</v>
      </c>
      <c r="DS8" s="38"/>
      <c r="DT8" s="39"/>
      <c r="DU8" s="348" t="s">
        <v>137</v>
      </c>
      <c r="DV8" s="15"/>
      <c r="DW8" s="13"/>
      <c r="DX8" s="7"/>
      <c r="DY8" s="348" t="s">
        <v>116</v>
      </c>
      <c r="DZ8" s="347"/>
      <c r="EA8" s="39"/>
      <c r="EB8" s="346" t="s">
        <v>136</v>
      </c>
      <c r="EC8" s="38"/>
      <c r="ED8" s="39"/>
      <c r="EE8" s="348" t="s">
        <v>137</v>
      </c>
      <c r="EF8" s="15"/>
      <c r="EG8" s="13"/>
      <c r="EH8" s="7"/>
      <c r="EI8" s="348" t="s">
        <v>116</v>
      </c>
      <c r="EJ8" s="347"/>
      <c r="EK8" s="39"/>
      <c r="EL8" s="346" t="s">
        <v>136</v>
      </c>
      <c r="EM8" s="38"/>
      <c r="EN8" s="39"/>
      <c r="EO8" s="348" t="s">
        <v>137</v>
      </c>
      <c r="EP8" s="15"/>
      <c r="EQ8" s="13"/>
      <c r="ER8" s="7"/>
      <c r="ES8" s="348" t="s">
        <v>116</v>
      </c>
      <c r="ET8" s="347"/>
      <c r="EU8" s="39"/>
      <c r="EV8" s="346" t="s">
        <v>136</v>
      </c>
      <c r="EW8" s="38"/>
      <c r="EX8" s="39"/>
      <c r="EY8" s="348" t="s">
        <v>137</v>
      </c>
      <c r="EZ8" s="15"/>
      <c r="FA8" s="13"/>
      <c r="FB8" s="7"/>
      <c r="FC8" s="348" t="s">
        <v>116</v>
      </c>
      <c r="FD8" s="347"/>
      <c r="FE8" s="39"/>
      <c r="FF8" s="346" t="s">
        <v>136</v>
      </c>
      <c r="FG8" s="38"/>
      <c r="FH8" s="39"/>
      <c r="FI8" s="348" t="s">
        <v>137</v>
      </c>
      <c r="FJ8" s="15"/>
      <c r="FM8" s="54">
        <f>SUM(FM10:FM31)</f>
        <v>57.457000000000008</v>
      </c>
      <c r="FN8" s="54">
        <f>SUM(FN10:FN31)</f>
        <v>246</v>
      </c>
      <c r="FO8" s="54">
        <f t="shared" ref="FO8:FP8" si="0">SUM(FO10:FO31)</f>
        <v>1429.2</v>
      </c>
      <c r="FP8" s="54">
        <f t="shared" si="0"/>
        <v>2262</v>
      </c>
    </row>
    <row r="9" spans="2:175" ht="44.1">
      <c r="B9" s="190" t="s">
        <v>138</v>
      </c>
      <c r="C9" s="190" t="s">
        <v>139</v>
      </c>
      <c r="D9" s="190" t="s">
        <v>199</v>
      </c>
      <c r="E9" s="370" t="s">
        <v>140</v>
      </c>
      <c r="F9" s="371">
        <v>1</v>
      </c>
      <c r="G9" s="371">
        <v>2</v>
      </c>
      <c r="H9" s="371">
        <v>3</v>
      </c>
      <c r="I9" s="371">
        <v>4</v>
      </c>
      <c r="J9" s="371">
        <v>5</v>
      </c>
      <c r="K9" s="371">
        <v>6</v>
      </c>
      <c r="L9" s="371">
        <v>7</v>
      </c>
      <c r="M9" s="371">
        <v>8</v>
      </c>
      <c r="N9" s="371">
        <v>9</v>
      </c>
      <c r="O9" s="371">
        <v>10</v>
      </c>
      <c r="P9" s="371">
        <v>11</v>
      </c>
      <c r="Q9" s="371">
        <v>12</v>
      </c>
      <c r="R9" s="372" t="s">
        <v>145</v>
      </c>
      <c r="S9" s="370" t="s">
        <v>200</v>
      </c>
      <c r="T9" s="370" t="s">
        <v>201</v>
      </c>
      <c r="U9" s="370" t="s">
        <v>202</v>
      </c>
      <c r="V9" s="370" t="s">
        <v>13</v>
      </c>
      <c r="W9" s="373" t="s">
        <v>148</v>
      </c>
      <c r="X9" s="373" t="s">
        <v>149</v>
      </c>
      <c r="Y9" s="373" t="s">
        <v>150</v>
      </c>
      <c r="Z9" s="373" t="s">
        <v>151</v>
      </c>
      <c r="AA9" s="370" t="s">
        <v>152</v>
      </c>
      <c r="AB9" s="370"/>
      <c r="AC9" s="355" t="s">
        <v>203</v>
      </c>
      <c r="AD9" s="355" t="s">
        <v>204</v>
      </c>
      <c r="AE9" s="355" t="s">
        <v>203</v>
      </c>
      <c r="AF9" s="355" t="s">
        <v>204</v>
      </c>
      <c r="AG9" s="374" t="s">
        <v>205</v>
      </c>
      <c r="AH9" s="374" t="s">
        <v>206</v>
      </c>
      <c r="AI9" s="374" t="s">
        <v>207</v>
      </c>
      <c r="AJ9" s="374" t="s">
        <v>208</v>
      </c>
      <c r="AK9" s="374" t="s">
        <v>209</v>
      </c>
      <c r="AL9" s="374" t="s">
        <v>210</v>
      </c>
      <c r="AM9" s="245" t="s">
        <v>677</v>
      </c>
      <c r="AN9" s="374" t="s">
        <v>212</v>
      </c>
      <c r="AO9" s="374" t="s">
        <v>153</v>
      </c>
      <c r="AP9" s="374" t="s">
        <v>214</v>
      </c>
      <c r="AQ9" s="374" t="s">
        <v>215</v>
      </c>
      <c r="AR9" s="374" t="s">
        <v>216</v>
      </c>
      <c r="AS9" s="374" t="s">
        <v>450</v>
      </c>
      <c r="AT9" s="48" t="s">
        <v>154</v>
      </c>
      <c r="AU9" s="13" t="s">
        <v>155</v>
      </c>
      <c r="AV9" s="8" t="s">
        <v>156</v>
      </c>
      <c r="AW9" s="345" t="s">
        <v>157</v>
      </c>
      <c r="AX9" s="344" t="s">
        <v>165</v>
      </c>
      <c r="AY9" s="343" t="s">
        <v>159</v>
      </c>
      <c r="AZ9" s="344" t="s">
        <v>160</v>
      </c>
      <c r="BA9" s="344" t="s">
        <v>161</v>
      </c>
      <c r="BB9" s="344" t="s">
        <v>162</v>
      </c>
      <c r="BC9" s="344" t="s">
        <v>163</v>
      </c>
      <c r="BD9" s="343" t="s">
        <v>164</v>
      </c>
      <c r="BE9" s="13" t="s">
        <v>155</v>
      </c>
      <c r="BF9" s="8" t="s">
        <v>156</v>
      </c>
      <c r="BG9" s="345" t="s">
        <v>157</v>
      </c>
      <c r="BH9" s="344" t="s">
        <v>165</v>
      </c>
      <c r="BI9" s="343" t="s">
        <v>159</v>
      </c>
      <c r="BJ9" s="344" t="s">
        <v>160</v>
      </c>
      <c r="BK9" s="344" t="s">
        <v>161</v>
      </c>
      <c r="BL9" s="344" t="s">
        <v>162</v>
      </c>
      <c r="BM9" s="344" t="s">
        <v>163</v>
      </c>
      <c r="BN9" s="343" t="s">
        <v>164</v>
      </c>
      <c r="BO9" s="13" t="s">
        <v>155</v>
      </c>
      <c r="BP9" s="8" t="s">
        <v>156</v>
      </c>
      <c r="BQ9" s="345" t="s">
        <v>157</v>
      </c>
      <c r="BR9" s="344" t="s">
        <v>165</v>
      </c>
      <c r="BS9" s="343" t="s">
        <v>159</v>
      </c>
      <c r="BT9" s="344" t="s">
        <v>160</v>
      </c>
      <c r="BU9" s="344" t="s">
        <v>161</v>
      </c>
      <c r="BV9" s="344" t="s">
        <v>162</v>
      </c>
      <c r="BW9" s="344" t="s">
        <v>163</v>
      </c>
      <c r="BX9" s="343" t="s">
        <v>164</v>
      </c>
      <c r="BY9" s="13" t="s">
        <v>155</v>
      </c>
      <c r="BZ9" s="8" t="s">
        <v>156</v>
      </c>
      <c r="CA9" s="345" t="s">
        <v>157</v>
      </c>
      <c r="CB9" s="344" t="s">
        <v>165</v>
      </c>
      <c r="CC9" s="343" t="s">
        <v>159</v>
      </c>
      <c r="CD9" s="344" t="s">
        <v>160</v>
      </c>
      <c r="CE9" s="344" t="s">
        <v>161</v>
      </c>
      <c r="CF9" s="344" t="s">
        <v>162</v>
      </c>
      <c r="CG9" s="344" t="s">
        <v>163</v>
      </c>
      <c r="CH9" s="343" t="s">
        <v>164</v>
      </c>
      <c r="CI9" s="13" t="s">
        <v>155</v>
      </c>
      <c r="CJ9" s="8" t="s">
        <v>156</v>
      </c>
      <c r="CK9" s="345" t="s">
        <v>157</v>
      </c>
      <c r="CL9" s="344" t="s">
        <v>165</v>
      </c>
      <c r="CM9" s="343" t="s">
        <v>159</v>
      </c>
      <c r="CN9" s="344" t="s">
        <v>160</v>
      </c>
      <c r="CO9" s="344" t="s">
        <v>161</v>
      </c>
      <c r="CP9" s="344" t="s">
        <v>162</v>
      </c>
      <c r="CQ9" s="344" t="s">
        <v>163</v>
      </c>
      <c r="CR9" s="343" t="s">
        <v>164</v>
      </c>
      <c r="CS9" s="13" t="s">
        <v>155</v>
      </c>
      <c r="CT9" s="8" t="s">
        <v>156</v>
      </c>
      <c r="CU9" s="345" t="s">
        <v>157</v>
      </c>
      <c r="CV9" s="344" t="s">
        <v>165</v>
      </c>
      <c r="CW9" s="343" t="s">
        <v>159</v>
      </c>
      <c r="CX9" s="344" t="s">
        <v>160</v>
      </c>
      <c r="CY9" s="344" t="s">
        <v>161</v>
      </c>
      <c r="CZ9" s="344" t="s">
        <v>162</v>
      </c>
      <c r="DA9" s="344" t="s">
        <v>163</v>
      </c>
      <c r="DB9" s="343" t="s">
        <v>164</v>
      </c>
      <c r="DC9" s="13" t="s">
        <v>155</v>
      </c>
      <c r="DD9" s="8" t="s">
        <v>156</v>
      </c>
      <c r="DE9" s="345" t="s">
        <v>157</v>
      </c>
      <c r="DF9" s="344" t="s">
        <v>165</v>
      </c>
      <c r="DG9" s="343" t="s">
        <v>159</v>
      </c>
      <c r="DH9" s="344" t="s">
        <v>160</v>
      </c>
      <c r="DI9" s="344" t="s">
        <v>161</v>
      </c>
      <c r="DJ9" s="344" t="s">
        <v>162</v>
      </c>
      <c r="DK9" s="344" t="s">
        <v>163</v>
      </c>
      <c r="DL9" s="343" t="s">
        <v>164</v>
      </c>
      <c r="DM9" s="13" t="s">
        <v>155</v>
      </c>
      <c r="DN9" s="8" t="s">
        <v>156</v>
      </c>
      <c r="DO9" s="345" t="s">
        <v>157</v>
      </c>
      <c r="DP9" s="344" t="s">
        <v>165</v>
      </c>
      <c r="DQ9" s="343" t="s">
        <v>159</v>
      </c>
      <c r="DR9" s="344" t="s">
        <v>160</v>
      </c>
      <c r="DS9" s="344" t="s">
        <v>161</v>
      </c>
      <c r="DT9" s="344" t="s">
        <v>162</v>
      </c>
      <c r="DU9" s="344" t="s">
        <v>163</v>
      </c>
      <c r="DV9" s="343" t="s">
        <v>164</v>
      </c>
      <c r="DW9" s="13" t="s">
        <v>155</v>
      </c>
      <c r="DX9" s="8" t="s">
        <v>156</v>
      </c>
      <c r="DY9" s="345" t="s">
        <v>157</v>
      </c>
      <c r="DZ9" s="344" t="s">
        <v>165</v>
      </c>
      <c r="EA9" s="343" t="s">
        <v>159</v>
      </c>
      <c r="EB9" s="344" t="s">
        <v>160</v>
      </c>
      <c r="EC9" s="344" t="s">
        <v>161</v>
      </c>
      <c r="ED9" s="344" t="s">
        <v>162</v>
      </c>
      <c r="EE9" s="344" t="s">
        <v>163</v>
      </c>
      <c r="EF9" s="343" t="s">
        <v>164</v>
      </c>
      <c r="EG9" s="13" t="s">
        <v>155</v>
      </c>
      <c r="EH9" s="8" t="s">
        <v>156</v>
      </c>
      <c r="EI9" s="345" t="s">
        <v>157</v>
      </c>
      <c r="EJ9" s="344" t="s">
        <v>165</v>
      </c>
      <c r="EK9" s="343" t="s">
        <v>159</v>
      </c>
      <c r="EL9" s="344" t="s">
        <v>160</v>
      </c>
      <c r="EM9" s="344" t="s">
        <v>161</v>
      </c>
      <c r="EN9" s="344" t="s">
        <v>162</v>
      </c>
      <c r="EO9" s="344" t="s">
        <v>163</v>
      </c>
      <c r="EP9" s="343" t="s">
        <v>164</v>
      </c>
      <c r="EQ9" s="13" t="s">
        <v>155</v>
      </c>
      <c r="ER9" s="8" t="s">
        <v>156</v>
      </c>
      <c r="ES9" s="345" t="s">
        <v>157</v>
      </c>
      <c r="ET9" s="344" t="s">
        <v>165</v>
      </c>
      <c r="EU9" s="343" t="s">
        <v>159</v>
      </c>
      <c r="EV9" s="344" t="s">
        <v>160</v>
      </c>
      <c r="EW9" s="344" t="s">
        <v>161</v>
      </c>
      <c r="EX9" s="344" t="s">
        <v>162</v>
      </c>
      <c r="EY9" s="344" t="s">
        <v>163</v>
      </c>
      <c r="EZ9" s="343" t="s">
        <v>164</v>
      </c>
      <c r="FA9" s="13" t="s">
        <v>155</v>
      </c>
      <c r="FB9" s="8" t="s">
        <v>156</v>
      </c>
      <c r="FC9" s="345" t="s">
        <v>157</v>
      </c>
      <c r="FD9" s="344" t="s">
        <v>165</v>
      </c>
      <c r="FE9" s="343" t="s">
        <v>159</v>
      </c>
      <c r="FF9" s="344" t="s">
        <v>160</v>
      </c>
      <c r="FG9" s="344" t="s">
        <v>161</v>
      </c>
      <c r="FH9" s="344" t="s">
        <v>162</v>
      </c>
      <c r="FI9" s="344" t="s">
        <v>163</v>
      </c>
      <c r="FJ9" s="343" t="s">
        <v>164</v>
      </c>
      <c r="FM9" s="24" t="s">
        <v>218</v>
      </c>
      <c r="FN9" s="24" t="s">
        <v>219</v>
      </c>
      <c r="FO9" s="24" t="s">
        <v>220</v>
      </c>
      <c r="FP9" s="24" t="s">
        <v>221</v>
      </c>
      <c r="FQ9" t="s">
        <v>678</v>
      </c>
      <c r="FR9" t="s">
        <v>679</v>
      </c>
      <c r="FS9" t="s">
        <v>680</v>
      </c>
    </row>
    <row r="10" spans="2:175" ht="302.64999999999998" customHeight="1">
      <c r="B10" s="29" t="s">
        <v>681</v>
      </c>
      <c r="C10" s="5" t="s">
        <v>384</v>
      </c>
      <c r="D10" s="5" t="s">
        <v>224</v>
      </c>
      <c r="E10" s="80">
        <v>6</v>
      </c>
      <c r="F10" s="123" t="str">
        <f>IF($E10&lt;F$9,"",IF(AND(AY10&gt;0.6,BB10&lt;=8,BC10=BD10),"○","×")&amp;CHAR(10)&amp;"[P・Q]"&amp;CHAR(10)&amp;IF(AY10="","--",IF(AY10&gt;0.6,"○","×"))&amp;IF(BB10="","・--",IF(BB10&lt;=8,"・○","・×")))</f>
        <v>×
[P・Q]
×・×</v>
      </c>
      <c r="G10" s="123" t="str">
        <f t="shared" ref="G10:G31" si="1">IF($E10&lt;G$9,"",IF(AND(BI10&gt;0.6,BL10&lt;=8,BM10=BN10),"○","×")&amp;CHAR(10)&amp;"[P・Q]"&amp;CHAR(10)&amp;IF(BI10="","--",IF(BI10&gt;0.6,"○","×"))&amp;IF(BL10="","・--",IF(BL10&lt;=8,"・○","・×")))</f>
        <v>×
[P・Q]
--・--</v>
      </c>
      <c r="H10" s="123" t="str">
        <f t="shared" ref="H10:H31" si="2">IF($E10&lt;H$9,"",IF(AND(BS10&gt;0.6,BV10&lt;=8,BW10=BX10),"○","×")&amp;CHAR(10)&amp;"[P・Q]"&amp;CHAR(10)&amp;IF(BS10="","--",IF(BS10&gt;0.6,"○","×"))&amp;IF(BV10="","・--",IF(BV10&lt;=8,"・○","・×")))</f>
        <v>×
[P・Q]
×・×</v>
      </c>
      <c r="I10" s="123" t="str">
        <f t="shared" ref="I10:I19" si="3">IF($E10&lt;I$9,"",IF(AND(CC10&gt;0.6,CF10&lt;=8,CG10=CH10),"○","×")&amp;CHAR(10)&amp;"[P・Q]"&amp;CHAR(10)&amp;IF(CC10="","--",IF(CC10&gt;0.6,"○","×"))&amp;IF(CF10="","・--",IF(CF10&lt;=8,"・○","・×")))</f>
        <v>×
[P・Q]
--・--</v>
      </c>
      <c r="J10" s="123" t="str">
        <f t="shared" ref="J10:J31" si="4">IF($E10&lt;J$9,"",IF(AND(CM10&gt;0.6,CP10&lt;=8,CQ10=CR10),"○","×")&amp;CHAR(10)&amp;"[P・Q]"&amp;CHAR(10)&amp;IF(CM10="","--",IF(CM10&gt;0.6,"○","×"))&amp;IF(CP10="","・--",IF(CP10&lt;=8,"・○","・×")))</f>
        <v>×
[P・Q]
×・×</v>
      </c>
      <c r="K10" s="123" t="str">
        <f>IF($E10&lt;K$9,"",IF(AND(CW10&gt;0.6,CZ10&lt;=8,DA10=DB10),"○","×")&amp;CHAR(10)&amp;"[P・Q]"&amp;CHAR(10)&amp;IF(CW10="","--",IF(CW10&gt;0.6,"○","×"))&amp;IF(DA10="","・--",IF(DA10&lt;=8,"・○","・×")))</f>
        <v>×
[P・Q]
--・--</v>
      </c>
      <c r="L10" s="123" t="str">
        <f t="shared" ref="L10:L17" si="5">IF($E10&lt;L$9,"",IF(AND(DG10&gt;0.6,DJ10&lt;=8,DK10=DL10),"○","×")&amp;CHAR(10)&amp;"[P・Q]"&amp;CHAR(10)&amp;IF(DG10="","--",IF(DG10&gt;0.6,"○","×"))&amp;IF(DJ10="","・--",IF(DJ10&lt;=8,"・○","・×")))</f>
        <v/>
      </c>
      <c r="M10" s="123" t="str">
        <f t="shared" ref="M10:M23" si="6">IF($E10&lt;M$9,"",IF(AND(DQ10&gt;0.6,DT10&lt;=8,DU10=DV10),"○","×")&amp;CHAR(10)&amp;"[P・Q]"&amp;CHAR(10)&amp;IF(DQ10="","--",IF(DQ10&gt;0.6,"○","×"))&amp;IF(DT10="","・--",IF(DT10&lt;=8,"・○","・×")))</f>
        <v/>
      </c>
      <c r="N10" s="123" t="str">
        <f t="shared" ref="N10:N19" si="7">IF($E10&lt;N$9,"",IF(AND(EA10&gt;0.6,ED10&lt;=8,EE10=EF10),"○","×")&amp;CHAR(10)&amp;"[P・Q]"&amp;CHAR(10)&amp;IF(EA10="","--",IF(EA10&gt;0.6,"○","×"))&amp;IF(ED10="","・--",IF(ED10&lt;=8,"・○","・×")))</f>
        <v/>
      </c>
      <c r="O10" s="123" t="str">
        <f t="shared" ref="O10:O31" si="8">IF($E10&lt;O$9,"",IF(AND(EK10&gt;0.6,EN10&lt;=8,EO10=EP10),"○","×")&amp;CHAR(10)&amp;"[P・Q]"&amp;CHAR(10)&amp;IF(EK10="","--",IF(EK10&gt;0.6,"○","×"))&amp;IF(EN10="","・--",IF(EN10&lt;=8,"・○","・×")))</f>
        <v/>
      </c>
      <c r="P10" s="123" t="str">
        <f t="shared" ref="P10:P31" si="9">IF($E10&lt;P$9,"",IF(AND(EU10&gt;0.6,EX10&lt;=8,EY10=EZ10),"○","×")&amp;CHAR(10)&amp;"[P・Q]"&amp;CHAR(10)&amp;IF(EU10="","--",IF(EU10&gt;0.6,"○","×"))&amp;IF(EX10="","・--",IF(EX10&lt;=8,"・○","・×")))</f>
        <v/>
      </c>
      <c r="Q10" s="123" t="str">
        <f t="shared" ref="Q10:Q31" si="10">IF($E10&lt;Q$9,"",IF(AND(FE10&gt;0.6,FH10&lt;=8,FI10=FJ10),"○","×")&amp;CHAR(10)&amp;"[P・Q]"&amp;CHAR(10)&amp;IF(FE10="","--",IF(FE10&gt;0.6,"○","×"))&amp;IF(FH10="","・--",IF(FH10&lt;=8,"・○","・×")))</f>
        <v/>
      </c>
      <c r="R10" s="511">
        <f t="shared" ref="R10:R31" si="11">COUNTIF(AU10:FJ10,"○")/E10</f>
        <v>0.5</v>
      </c>
      <c r="S10" s="80">
        <v>5</v>
      </c>
      <c r="T10" s="80">
        <v>5</v>
      </c>
      <c r="U10" s="80">
        <v>5</v>
      </c>
      <c r="V10" s="80">
        <v>5</v>
      </c>
      <c r="W10" s="123">
        <f t="shared" ref="W10:W31" si="12">((COUNTIF(AY10,"&gt;=0.6")+COUNTIF(BI10,"&gt;=0.6")+COUNTIF(BS10,"&gt;=0.6")+COUNTIF(CC10,"&gt;=0.6")+COUNTIF(CM10,"&gt;=0.6")+COUNTIF(CW10,"&gt;=0.6")+COUNTIF(DG10,"&gt;=0.6")+COUNTIF(DQ10,"&gt;=0.6")+COUNTIF(EA10,"&gt;=0.6")+COUNTIF(EK10,"&gt;=0.6")+COUNTIF(EU10,"&gt;=0.6")+COUNTIF(FE10,"&gt;=0.6"))*(75/(E10*2)))</f>
        <v>0</v>
      </c>
      <c r="X10" s="123">
        <f t="shared" ref="X10:X31" si="13">((COUNTIF(BB10,"&lt;=8")+COUNTIF(BL10,"&lt;=8")+COUNTIF(BV10,"&lt;=8")+COUNTIF(CF10,"&lt;=8")+COUNTIF(CP10,"&lt;=8")+COUNTIF(CZ10,"&lt;=8")+COUNTIF(DJ10,"&lt;=8")+COUNTIF(DT10,"&lt;=8")+COUNTIF(ED10,"&lt;=8")+COUNTIF(EN10,"&lt;=8")+COUNTIF(EX10,"&lt;=8")+COUNTIF(FH10,"&lt;=8"))*(75/(E10*2)))</f>
        <v>0</v>
      </c>
      <c r="Y10" s="123" cm="1">
        <f t="array" ref="Y10">_xlfn.IFS(R10&gt;=0.8,5,R10&gt;=0.6,3,R10&gt;=0.2,1,R10&lt;0.2,0)</f>
        <v>1</v>
      </c>
      <c r="Z10" s="512">
        <f>SUM(S10:Y10)</f>
        <v>21</v>
      </c>
      <c r="AA10" s="5" t="s">
        <v>682</v>
      </c>
      <c r="AB10" s="5" t="s">
        <v>683</v>
      </c>
      <c r="AC10" s="80" t="s">
        <v>226</v>
      </c>
      <c r="AD10" s="5" t="s">
        <v>684</v>
      </c>
      <c r="AE10" s="5"/>
      <c r="AF10" s="5"/>
      <c r="AG10" s="5"/>
      <c r="AH10" s="201">
        <f>IFERROR(AVERAGE(AY10,BI10,BS10,CC10,CM10,CW10,DG10,DQ10,EA10,EK10)," ")</f>
        <v>0.54623376623376629</v>
      </c>
      <c r="AI10" s="202">
        <f>IFERROR(AVERAGE(BB10,BL10,BV10,CF10,CP10,CZ10,DJ10,DT10,ED10,EN10)," ")</f>
        <v>46.663445017182134</v>
      </c>
      <c r="AJ10" s="80" t="str">
        <f t="shared" ref="AJ10:AJ28" si="14">IFERROR(IF(AH10&gt;=0.6,"HIGH","LOW"),"")</f>
        <v>LOW</v>
      </c>
      <c r="AK10" s="80" t="str">
        <f t="shared" ref="AK10:AK28" si="15">IFERROR(IF(AI10&lt;=8,"HIGH","LOW"),"")</f>
        <v>LOW</v>
      </c>
      <c r="AL10" s="237" t="s">
        <v>685</v>
      </c>
      <c r="AM10" s="29" t="s">
        <v>686</v>
      </c>
      <c r="AN10" s="126" t="str">
        <f>IF(AND(Z10&gt;Summary!$C$5, Z10&lt;=Summary!$D$5),Summary!$B$5,IF(AND(Z10&gt;Summary!$C$6, Z10&lt;=Summary!$D$6),Summary!$B$6,IF(AND(Z10&gt;Summary!$C$7, Z10&lt;=Summary!$D$7),Summary!$B$7,Summary!$B$8)))</f>
        <v>×</v>
      </c>
      <c r="AO10" s="126" t="s">
        <v>174</v>
      </c>
      <c r="AP10" s="126"/>
      <c r="AQ10" s="126"/>
      <c r="AR10" s="126"/>
      <c r="AS10" s="126" t="s">
        <v>168</v>
      </c>
      <c r="AT10" s="408" t="s">
        <v>687</v>
      </c>
      <c r="AU10" s="80" t="str">
        <f>$AU$1&amp;" "&amp;VLOOKUP(B10,'[1]Productivity-MH'!$B:$C,2,FALSE)</f>
        <v>Hiroshima RJJ1070G</v>
      </c>
      <c r="AV10" s="4" t="s">
        <v>168</v>
      </c>
      <c r="AW10" s="6">
        <f>IF(AV10="○",VLOOKUP(B10,'[1]Productivity-MH'!$B:$J,9,FALSE)," ")</f>
        <v>22.8</v>
      </c>
      <c r="AX10" s="6">
        <f>IF(AV10="○",VLOOKUP(B10,'[1]Productivity-MH'!$B:$H,7,FALSE)," ")</f>
        <v>45</v>
      </c>
      <c r="AY10" s="33">
        <f t="shared" ref="AY10:AY28" si="16">IFERROR(IF(AX10="","",AW10/AX10)," ")</f>
        <v>0.50666666666666671</v>
      </c>
      <c r="AZ10" s="398">
        <f>IF(AV10="○",VLOOKUP(B10,'[1]Productivity-MH'!$B:$K,10,FALSE)," ")</f>
        <v>0.128</v>
      </c>
      <c r="BA10" s="3">
        <f>IF(AV10="○",VLOOKUP(B10,'[1]Productivity-MH'!$B:$L,11,FALSE)," ")</f>
        <v>5</v>
      </c>
      <c r="BB10" s="37">
        <f t="shared" ref="BB10:BB28" si="17">IFERROR(IF(BA10="","",BA10/AZ10)," ")</f>
        <v>39.0625</v>
      </c>
      <c r="BC10" s="3">
        <v>5</v>
      </c>
      <c r="BD10" s="3">
        <v>5</v>
      </c>
      <c r="BE10" s="80" t="str">
        <f>$AU$1&amp;" "&amp;VLOOKUP(B10,'[1]Productivity-MH'!$B:$M,12,FALSE)</f>
        <v>Hiroshima RJ06510G</v>
      </c>
      <c r="BF10" s="4"/>
      <c r="BG10" s="6" t="str">
        <f>IF(BF10="○",VLOOKUP(B10,'[1]Productivity-MH'!$B:$T,19,FALSE),"")</f>
        <v/>
      </c>
      <c r="BH10" s="6" t="str">
        <f>IF(BF10="○",VLOOKUP(B10,'[1]Productivity-MH'!$B:$R,17,FALSE),"")</f>
        <v/>
      </c>
      <c r="BI10" s="33" t="str">
        <f t="shared" ref="BI10:BI28" si="18">IFERROR(IF(BH10="","",BG10/BH10)," ")</f>
        <v/>
      </c>
      <c r="BJ10" s="42" t="str">
        <f>IF(BF10="○",VLOOKUP(B10,'[1]Productivity-MH'!$B:$U,20,FALSE),"")</f>
        <v/>
      </c>
      <c r="BK10" s="3" t="str">
        <f>IF(BF10="○",VLOOKUP(B10,'[1]Productivity-MH'!$B:$V,21,FALSE),"")</f>
        <v/>
      </c>
      <c r="BL10" s="37" t="str">
        <f t="shared" ref="BL10:BL28" si="19">IFERROR(IF(BK10="","",BK10/BJ10)," ")</f>
        <v/>
      </c>
      <c r="BM10" s="3"/>
      <c r="BN10" s="3"/>
      <c r="BO10" s="80" t="str">
        <f>$AU$1&amp;" "&amp;VLOOKUP(B10,'[1]Productivity-MH'!$B:$W,22,FALSE)</f>
        <v>Hiroshima N203060G</v>
      </c>
      <c r="BP10" s="4" t="s">
        <v>168</v>
      </c>
      <c r="BQ10" s="6">
        <f>IF(BP10="○",VLOOKUP(B10,'[1]Productivity-MH'!$B:$AD,29,FALSE),"")</f>
        <v>22.700000000000003</v>
      </c>
      <c r="BR10" s="6">
        <f>IF(BP10="○",VLOOKUP(B10,'[1]Productivity-MH'!$B:$AB,27,FALSE),"")</f>
        <v>38.5</v>
      </c>
      <c r="BS10" s="33">
        <f>IF(BR10="","",BQ10/BR10)</f>
        <v>0.5896103896103897</v>
      </c>
      <c r="BT10" s="42">
        <f>IF(BP10="○",VLOOKUP(B10,'[1]Productivity-MH'!$B:$AE,30,FALSE),"")</f>
        <v>0.2</v>
      </c>
      <c r="BU10" s="3">
        <v>14</v>
      </c>
      <c r="BV10" s="37">
        <f>IF(BU10="","",BU10/BT10)</f>
        <v>70</v>
      </c>
      <c r="BW10" s="3">
        <v>14</v>
      </c>
      <c r="BX10" s="3">
        <v>14</v>
      </c>
      <c r="BY10" s="80" t="str">
        <f>$AU$1&amp;" "&amp;VLOOKUP(B10,'[1]Productivity-MH'!$B:$AG,32,FALSE)</f>
        <v>Hiroshima N203061G</v>
      </c>
      <c r="BZ10" s="4"/>
      <c r="CA10" s="6" t="str">
        <f>IF(BZ10="○",VLOOKUP(B10,'[1]Productivity-MH'!$B:$AN,39,FALSE),"")</f>
        <v/>
      </c>
      <c r="CB10" s="6" t="str">
        <f>IF(BZ10="○",VLOOKUP(B10,'[1]Productivity-MH'!$B:$AL,37,FALSE),"")</f>
        <v/>
      </c>
      <c r="CC10" s="33" t="str">
        <f>IF(CB10="","",CA10/CB10)</f>
        <v/>
      </c>
      <c r="CD10" s="42" t="str">
        <f>IF(BZ10="○",VLOOKUP(B10,'[1]Productivity-MH'!$B:$AO,40,FALSE),"")</f>
        <v/>
      </c>
      <c r="CE10" s="3" t="str">
        <f>IF(BZ10="○",VLOOKUP(B10,'[1]Productivity-MH'!$B:$AP,41,FALSE),"")</f>
        <v/>
      </c>
      <c r="CF10" s="37" t="str">
        <f>IF(CE10="","",CE10/CD10)</f>
        <v/>
      </c>
      <c r="CG10" s="3"/>
      <c r="CH10" s="3"/>
      <c r="CI10" s="80" t="str">
        <f>$AU$1&amp;" "&amp;VLOOKUP(B10,'[1]Productivity-MH'!$B:$AQ,42,FALSE)</f>
        <v>Hiroshima N209020G</v>
      </c>
      <c r="CJ10" s="4" t="s">
        <v>168</v>
      </c>
      <c r="CK10" s="6">
        <f>IF(CJ10="○",VLOOKUP(B10,'[1]Productivity-MH'!$B:$AX,49,FALSE),"")</f>
        <v>17.900000000000002</v>
      </c>
      <c r="CL10" s="6">
        <f>IF(CJ10="○",VLOOKUP(B10,'[1]Productivity-MH'!$B:$AV,47,FALSE),"")</f>
        <v>33</v>
      </c>
      <c r="CM10" s="33">
        <f>IF(CL10="","",CK10/CL10)</f>
        <v>0.54242424242424248</v>
      </c>
      <c r="CN10" s="42">
        <f>IF(CJ10="○",VLOOKUP(B10,'[1]Productivity-MH'!$B:$AY,50,FALSE),"")</f>
        <v>0.19400000000000001</v>
      </c>
      <c r="CO10" s="3">
        <v>6</v>
      </c>
      <c r="CP10" s="37">
        <f>IF(CO10="","",CO10/CN10)</f>
        <v>30.927835051546392</v>
      </c>
      <c r="CQ10" s="3">
        <v>6</v>
      </c>
      <c r="CR10" s="3">
        <v>6</v>
      </c>
      <c r="CS10" s="80" t="str">
        <f>$AU$1&amp;" "&amp;VLOOKUP(B10,'[1]Productivity-MH'!$B:$BA,52,FALSE)</f>
        <v>Hiroshima N209050G</v>
      </c>
      <c r="CT10" s="4"/>
      <c r="CU10" s="6" t="str">
        <f>IF(CT10="○",VLOOKUP(B10,'[1]Productivity-MH'!$B:$BH,59,FALSE),"")</f>
        <v/>
      </c>
      <c r="CV10" s="6" t="str">
        <f>IF(CT10="○",VLOOKUP(B10,'[1]Productivity-MH'!$B:$BF,57,FALSE),"")</f>
        <v/>
      </c>
      <c r="CW10" s="33" t="str">
        <f>IF(CV10="","",CU10/CV10)</f>
        <v/>
      </c>
      <c r="CX10" s="42" t="str">
        <f>IF(CT10="○",VLOOKUP(B10,'[1]Productivity-MH'!$B:$BI,60,FALSE),"")</f>
        <v/>
      </c>
      <c r="CY10" s="3" t="str">
        <f>IF(CT10="○",VLOOKUP(B10,'[1]Productivity-MH'!$B:$BJ,61,FALSE),"")</f>
        <v/>
      </c>
      <c r="CZ10" s="37" t="str">
        <f>IF(CY10="","",CY10/CX10)</f>
        <v/>
      </c>
      <c r="DA10" s="3"/>
      <c r="DB10" s="3"/>
      <c r="DC10" s="396"/>
      <c r="DD10" s="391"/>
      <c r="DE10" s="392"/>
      <c r="DF10" s="392"/>
      <c r="DG10" s="393"/>
      <c r="DH10" s="394"/>
      <c r="DI10" s="395"/>
      <c r="DJ10" s="394"/>
      <c r="DK10" s="395"/>
      <c r="DL10" s="395"/>
      <c r="DM10" s="232"/>
      <c r="DN10" s="145"/>
      <c r="DO10" s="146"/>
      <c r="DP10" s="146"/>
      <c r="DQ10" s="147" t="str">
        <f>IF(DP10="","",DO10/DP10)</f>
        <v/>
      </c>
      <c r="DR10" s="148"/>
      <c r="DS10" s="149"/>
      <c r="DT10" s="148" t="str">
        <f>IF(DS10="","",DS10/DR10)</f>
        <v/>
      </c>
      <c r="DU10" s="149"/>
      <c r="DV10" s="149"/>
      <c r="DW10" s="232"/>
      <c r="DX10" s="145"/>
      <c r="DY10" s="146"/>
      <c r="DZ10" s="146"/>
      <c r="EA10" s="147" t="str">
        <f>IF(DZ10="","",DY10/DZ10)</f>
        <v/>
      </c>
      <c r="EB10" s="148"/>
      <c r="EC10" s="149"/>
      <c r="ED10" s="148" t="str">
        <f>IF(EC10="","",EC10/EB10)</f>
        <v/>
      </c>
      <c r="EE10" s="149"/>
      <c r="EF10" s="149"/>
      <c r="EG10" s="232"/>
      <c r="EH10" s="145"/>
      <c r="EI10" s="146"/>
      <c r="EJ10" s="146"/>
      <c r="EK10" s="147" t="str">
        <f>IF(EJ10="","",EI10/EJ10)</f>
        <v/>
      </c>
      <c r="EL10" s="148"/>
      <c r="EM10" s="149"/>
      <c r="EN10" s="148" t="str">
        <f>IF(EM10="","",EM10/EL10)</f>
        <v/>
      </c>
      <c r="EO10" s="149"/>
      <c r="EP10" s="149"/>
      <c r="EQ10" s="232"/>
      <c r="ER10" s="145"/>
      <c r="ES10" s="146"/>
      <c r="ET10" s="146"/>
      <c r="EU10" s="147" t="str">
        <f>IF(ET10="","",ES10/ET10)</f>
        <v/>
      </c>
      <c r="EV10" s="148"/>
      <c r="EW10" s="149"/>
      <c r="EX10" s="148" t="str">
        <f>IF(EW10="","",EW10/EV10)</f>
        <v/>
      </c>
      <c r="EY10" s="149"/>
      <c r="EZ10" s="149"/>
      <c r="FA10" s="232"/>
      <c r="FB10" s="145"/>
      <c r="FC10" s="146"/>
      <c r="FD10" s="146"/>
      <c r="FE10" s="147" t="str">
        <f>IF(FD10="","",FC10/FD10)</f>
        <v/>
      </c>
      <c r="FF10" s="148"/>
      <c r="FG10" s="149"/>
      <c r="FH10" s="148" t="str">
        <f>IF(FG10="","",FG10/FF10)</f>
        <v/>
      </c>
      <c r="FI10" s="149"/>
      <c r="FJ10" s="149"/>
      <c r="FM10" s="54"/>
      <c r="FN10" s="54"/>
      <c r="FO10" s="471"/>
      <c r="FP10" s="471"/>
      <c r="FQ10" s="295">
        <f t="shared" ref="FQ10:FQ31" si="20">AH10</f>
        <v>0.54623376623376629</v>
      </c>
      <c r="FR10" s="54">
        <f t="shared" ref="FR10:FR31" si="21">AI10</f>
        <v>46.663445017182134</v>
      </c>
      <c r="FS10" t="e">
        <f t="shared" ref="FS10:FS31" si="22">FN10/FM10</f>
        <v>#DIV/0!</v>
      </c>
    </row>
    <row r="11" spans="2:175" ht="107.85" customHeight="1">
      <c r="B11" s="5" t="s">
        <v>688</v>
      </c>
      <c r="C11" s="5" t="s">
        <v>223</v>
      </c>
      <c r="D11" s="5" t="s">
        <v>313</v>
      </c>
      <c r="E11" s="36">
        <v>8</v>
      </c>
      <c r="F11" s="123" t="str">
        <f>IF($E11&lt;F$9,"",IF(AND(AY11&gt;0.6,BB11&lt;=8,BC11=BD11),"○","×")&amp;CHAR(10)&amp;"[P・Q]"&amp;CHAR(10)&amp;IF(AY11="","--",IF(AY11&gt;0.6,"○","×"))&amp;IF(BB11="","・--",IF(BB11&lt;=8,"・○","・×")))</f>
        <v>×
[P・Q]
×・○</v>
      </c>
      <c r="G11" s="123" t="str">
        <f t="shared" si="1"/>
        <v>×
[P・Q]
×・×</v>
      </c>
      <c r="H11" s="123" t="str">
        <f t="shared" si="2"/>
        <v>○
[P・Q]
○・○</v>
      </c>
      <c r="I11" s="123" t="str">
        <f t="shared" si="3"/>
        <v>×
[P・Q]
×・○</v>
      </c>
      <c r="J11" s="123" t="str">
        <f t="shared" si="4"/>
        <v>×
[P・Q]
×・×</v>
      </c>
      <c r="K11" s="123" t="str">
        <f>IF($E11&lt;K$9,"",IF(AND(CW11&gt;0.6,CZ11&lt;=8,DA11=DB11),"○","×")&amp;CHAR(10)&amp;"[P・Q]"&amp;CHAR(10)&amp;IF(CW11="","--",IF(CW11&gt;0.6,"○","×"))&amp;IF(DA11="","・--",IF(DA11&lt;=8,"・○","・×")))</f>
        <v>×
[P・Q]
×・○</v>
      </c>
      <c r="L11" s="123" t="str">
        <f t="shared" si="5"/>
        <v>○
[P・Q]
○・○</v>
      </c>
      <c r="M11" s="123" t="str">
        <f t="shared" si="6"/>
        <v>○
[P・Q]
○・○</v>
      </c>
      <c r="N11" s="123" t="str">
        <f t="shared" si="7"/>
        <v/>
      </c>
      <c r="O11" s="123" t="str">
        <f t="shared" si="8"/>
        <v/>
      </c>
      <c r="P11" s="123" t="str">
        <f t="shared" si="9"/>
        <v/>
      </c>
      <c r="Q11" s="123" t="str">
        <f t="shared" si="10"/>
        <v/>
      </c>
      <c r="R11" s="511">
        <f t="shared" si="11"/>
        <v>1</v>
      </c>
      <c r="S11" s="36">
        <v>5</v>
      </c>
      <c r="T11" s="36">
        <v>3</v>
      </c>
      <c r="U11" s="36">
        <v>5</v>
      </c>
      <c r="V11" s="36">
        <v>5</v>
      </c>
      <c r="W11" s="513">
        <f t="shared" si="12"/>
        <v>14.0625</v>
      </c>
      <c r="X11" s="513">
        <f t="shared" si="13"/>
        <v>23.4375</v>
      </c>
      <c r="Y11" s="513" cm="1">
        <f t="array" ref="Y11">_xlfn.IFS(R11&gt;=0.8,5,R11&gt;=0.6,3,R11&gt;=0.2,1,R11&lt;0.2,0)</f>
        <v>5</v>
      </c>
      <c r="Z11" s="512">
        <f>SUM(S11:Y11)</f>
        <v>60.5</v>
      </c>
      <c r="AA11" s="5" t="s">
        <v>689</v>
      </c>
      <c r="AB11" s="5" t="s">
        <v>690</v>
      </c>
      <c r="AC11" s="80" t="s">
        <v>251</v>
      </c>
      <c r="AD11" s="510" t="s">
        <v>691</v>
      </c>
      <c r="AE11" s="126" t="s">
        <v>174</v>
      </c>
      <c r="AF11" s="5" t="s">
        <v>692</v>
      </c>
      <c r="AG11" s="5"/>
      <c r="AH11" s="201">
        <f t="shared" ref="AH11:AH28" si="23">IFERROR(AVERAGE(AY11,BI11,BS11,CC11,CM11,CW11,DG11,DQ11,EA11,EK11)," ")</f>
        <v>0.68578086995536869</v>
      </c>
      <c r="AI11" s="202">
        <f t="shared" ref="AI11:AI28" si="24">IFERROR(AVERAGE(BB11,BL11,BV11,CF11,CP11,CZ11,DJ11,DT11,ED11,EN11)," ")</f>
        <v>4.9079361618981938</v>
      </c>
      <c r="AJ11" s="80" t="str">
        <f t="shared" si="14"/>
        <v>HIGH</v>
      </c>
      <c r="AK11" s="80" t="str">
        <f t="shared" si="15"/>
        <v>HIGH</v>
      </c>
      <c r="AL11" s="215" t="s">
        <v>693</v>
      </c>
      <c r="AM11" s="214" t="s">
        <v>694</v>
      </c>
      <c r="AN11" s="126" t="str">
        <f>IF(AND(Z11&gt;Summary!$C$5, Z11&lt;=Summary!$D$5),Summary!$B$5,IF(AND(Z11&gt;Summary!$C$6, Z11&lt;=Summary!$D$6),Summary!$B$6,IF(AND(Z11&gt;Summary!$C$7, Z11&lt;=Summary!$D$7),Summary!$B$7,Summary!$B$8)))</f>
        <v>○</v>
      </c>
      <c r="AO11" s="126" t="s">
        <v>168</v>
      </c>
      <c r="AP11" s="126"/>
      <c r="AQ11" s="126"/>
      <c r="AR11" s="126" t="s">
        <v>168</v>
      </c>
      <c r="AS11" s="126"/>
      <c r="AT11" s="353" t="s">
        <v>695</v>
      </c>
      <c r="AU11" s="80" t="str">
        <f>$AU$1&amp;" "&amp;VLOOKUP(B11,'[1]Productivity-MH'!$B:$C,2,FALSE)</f>
        <v>Hiroshima RJ02010G</v>
      </c>
      <c r="AV11" s="4" t="s">
        <v>168</v>
      </c>
      <c r="AW11" s="6">
        <f>IF(AV11="○",VLOOKUP(B11,'[1]Productivity-MH'!$B:$J,9,FALSE)," ")</f>
        <v>15.4</v>
      </c>
      <c r="AX11" s="6">
        <f>IF(AV11="○",VLOOKUP(B11,'[1]Productivity-MH'!$B:$H,7,FALSE)," ")</f>
        <v>27.5</v>
      </c>
      <c r="AY11" s="33">
        <f t="shared" si="16"/>
        <v>0.56000000000000005</v>
      </c>
      <c r="AZ11" s="42">
        <f>IF(AV11="○",VLOOKUP(B11,'[1]Productivity-MH'!$B:$K,10,FALSE)," ")</f>
        <v>0.11700000000000001</v>
      </c>
      <c r="BA11" s="3">
        <f>IF(AV11="○",VLOOKUP(B11,'[1]Productivity-MH'!$B:$L,11,FALSE)," ")</f>
        <v>0</v>
      </c>
      <c r="BB11" s="37">
        <f t="shared" si="17"/>
        <v>0</v>
      </c>
      <c r="BC11" s="3">
        <v>0</v>
      </c>
      <c r="BD11" s="3">
        <v>0</v>
      </c>
      <c r="BE11" s="80" t="str">
        <f>$AU$1&amp;" "&amp;VLOOKUP(B11,'[1]Productivity-MH'!$B:$M,12,FALSE)</f>
        <v>Hiroshima RJ07Z20G</v>
      </c>
      <c r="BF11" s="4" t="s">
        <v>168</v>
      </c>
      <c r="BG11" s="6">
        <f>IF(BF11="○",VLOOKUP(B11,'[1]Productivity-MH'!$B:$T,19,FALSE),"")</f>
        <v>10.5</v>
      </c>
      <c r="BH11" s="6">
        <f>IF(BF11="○",VLOOKUP(B11,'[1]Productivity-MH'!$B:$R,17,FALSE),"")</f>
        <v>28.5</v>
      </c>
      <c r="BI11" s="33">
        <f t="shared" si="18"/>
        <v>0.36842105263157893</v>
      </c>
      <c r="BJ11" s="42">
        <f>IF(BF11="○",VLOOKUP(B11,'[1]Productivity-MH'!$B:$U,20,FALSE),"")</f>
        <v>0.114</v>
      </c>
      <c r="BK11" s="3">
        <f>IF(BF11="○",VLOOKUP(B11,'[1]Productivity-MH'!$B:$V,21,FALSE),"")</f>
        <v>1</v>
      </c>
      <c r="BL11" s="37">
        <f t="shared" si="19"/>
        <v>8.7719298245614024</v>
      </c>
      <c r="BM11" s="3">
        <v>1</v>
      </c>
      <c r="BN11" s="3">
        <v>1</v>
      </c>
      <c r="BO11" s="80" t="str">
        <f>$AU$1&amp;" "&amp;VLOOKUP(B11,'[1]Productivity-MH'!$B:$W,22,FALSE)</f>
        <v>Hiroshima N203D30G</v>
      </c>
      <c r="BP11" s="4" t="s">
        <v>168</v>
      </c>
      <c r="BQ11" s="6">
        <f>IF(BP11="○",VLOOKUP(B11,'[1]Productivity-MH'!$B:$AD,29,FALSE),"")</f>
        <v>22.6</v>
      </c>
      <c r="BR11" s="6">
        <f>IF(BP11="○",VLOOKUP(B11,'[1]Productivity-MH'!$B:$AB,27,FALSE),"")</f>
        <v>26.5</v>
      </c>
      <c r="BS11" s="33">
        <f t="shared" ref="BS11:BS31" si="25">IF(BR11="","",BQ11/BR11)</f>
        <v>0.85283018867924532</v>
      </c>
      <c r="BT11" s="42">
        <f>IF(BP11="○",VLOOKUP(B11,'[1]Productivity-MH'!$B:$AE,30,FALSE),"")</f>
        <v>0.36299999999999999</v>
      </c>
      <c r="BU11" s="3">
        <f>IF(BP11="○",VLOOKUP(B11,'[1]Productivity-MH'!$B:$AF,31,FALSE),"")</f>
        <v>0</v>
      </c>
      <c r="BV11" s="37">
        <f t="shared" ref="BV11:BV31" si="26">IF(BU11="","",BU11/BT11)</f>
        <v>0</v>
      </c>
      <c r="BW11" s="3">
        <v>0</v>
      </c>
      <c r="BX11" s="3">
        <v>0</v>
      </c>
      <c r="BY11" s="80" t="str">
        <f>$AU$1&amp;" "&amp;VLOOKUP(B11,'[1]Productivity-MH'!$B:$AG,32,FALSE)</f>
        <v>Hiroshima N203D31G</v>
      </c>
      <c r="BZ11" s="4" t="s">
        <v>168</v>
      </c>
      <c r="CA11" s="6">
        <f>IF(BZ11="○",VLOOKUP(B11,'[1]Productivity-MH'!$B:$AN,39,FALSE),"")</f>
        <v>16.100000000000001</v>
      </c>
      <c r="CB11" s="6">
        <f>IF(BZ11="○",VLOOKUP(B11,'[1]Productivity-MH'!$B:$AL,37,FALSE),"")</f>
        <v>28.5</v>
      </c>
      <c r="CC11" s="33">
        <f t="shared" ref="CC11:CC31" si="27">IF(CB11="","",CA11/CB11)</f>
        <v>0.56491228070175448</v>
      </c>
      <c r="CD11" s="42">
        <f>IF(BZ11="○",VLOOKUP(B11,'[1]Productivity-MH'!$B:$AO,40,FALSE),"")</f>
        <v>0.67800000000000005</v>
      </c>
      <c r="CE11" s="3">
        <f>IF(BZ11="○",VLOOKUP(B11,'[1]Productivity-MH'!$B:$AP,41,FALSE),"")</f>
        <v>2</v>
      </c>
      <c r="CF11" s="37">
        <f t="shared" ref="CF11:CF31" si="28">IF(CE11="","",CE11/CD11)</f>
        <v>2.9498525073746311</v>
      </c>
      <c r="CG11" s="3">
        <v>2</v>
      </c>
      <c r="CH11" s="3">
        <v>2</v>
      </c>
      <c r="CI11" s="80" t="str">
        <f>$AU$1&amp;" "&amp;VLOOKUP(B11,'[1]Productivity-MH'!$B:$AQ,42,FALSE)</f>
        <v>Hiroshima RJ03190G</v>
      </c>
      <c r="CJ11" s="4" t="s">
        <v>168</v>
      </c>
      <c r="CK11" s="6">
        <f>IF(CJ11="○",VLOOKUP(B11,'[1]Productivity-MH'!$B:$AX,49,FALSE),"")</f>
        <v>10.6</v>
      </c>
      <c r="CL11" s="6">
        <f>IF(CJ11="○",VLOOKUP(B11,'[1]Productivity-MH'!$B:$AV,47,FALSE),"")</f>
        <v>23.5</v>
      </c>
      <c r="CM11" s="33">
        <f t="shared" ref="CM11:CM31" si="29">IF(CL11="","",CK11/CL11)</f>
        <v>0.45106382978723403</v>
      </c>
      <c r="CN11" s="42">
        <f>IF(CJ11="○",VLOOKUP(B11,'[1]Productivity-MH'!$B:$AY,50,FALSE),"")</f>
        <v>0.22</v>
      </c>
      <c r="CO11" s="3">
        <f>IF(CJ11="○",VLOOKUP(B11,'[1]Productivity-MH'!$B:$AZ,51,FALSE),"")</f>
        <v>2</v>
      </c>
      <c r="CP11" s="37">
        <f t="shared" ref="CP11:CP31" si="30">IF(CO11="","",CO11/CN11)</f>
        <v>9.0909090909090917</v>
      </c>
      <c r="CQ11" s="3">
        <v>2</v>
      </c>
      <c r="CR11" s="3">
        <v>2</v>
      </c>
      <c r="CS11" s="80" t="str">
        <f>$AU$1&amp;" "&amp;VLOOKUP(B11,'[1]Productivity-MH'!$B:$BA,52,FALSE)</f>
        <v>Hiroshima RJ03200G</v>
      </c>
      <c r="CT11" s="4" t="s">
        <v>168</v>
      </c>
      <c r="CU11" s="6">
        <f>IF(CT11="○",VLOOKUP(B11,'[1]Productivity-MH'!$B:$BH,59,FALSE),"")</f>
        <v>10.6</v>
      </c>
      <c r="CV11" s="6">
        <f>IF(CT11="○",VLOOKUP(B11,'[1]Productivity-MH'!$B:$BF,57,FALSE),"")</f>
        <v>25.5</v>
      </c>
      <c r="CW11" s="33">
        <f t="shared" ref="CW11:CW31" si="31">IF(CV11="","",CU11/CV11)</f>
        <v>0.41568627450980389</v>
      </c>
      <c r="CX11" s="42">
        <f>IF(CT11="○",VLOOKUP(B11,'[1]Productivity-MH'!$B:$BI,60,FALSE),"")</f>
        <v>0.188</v>
      </c>
      <c r="CY11" s="3">
        <f>IF(CT11="○",VLOOKUP(B11,'[1]Productivity-MH'!$B:$BJ,61,FALSE),"")</f>
        <v>2</v>
      </c>
      <c r="CZ11" s="37">
        <f t="shared" ref="CZ11:CZ31" si="32">IF(CY11="","",CY11/CX11)</f>
        <v>10.638297872340425</v>
      </c>
      <c r="DA11" s="3">
        <v>2</v>
      </c>
      <c r="DB11" s="3">
        <v>2</v>
      </c>
      <c r="DC11" s="36" t="str">
        <f>$AU$1&amp;" "&amp;VLOOKUP(B11,'[1]Productivity-MH'!$B:$BK,62,FALSE)</f>
        <v>Hiroshima RJ05690G</v>
      </c>
      <c r="DD11" s="4" t="s">
        <v>168</v>
      </c>
      <c r="DE11" s="6">
        <f>IF(DD11="○",VLOOKUP(B11,'[1]Productivity-MH'!$B:$BR,69,FALSE),"")</f>
        <v>15.4</v>
      </c>
      <c r="DF11" s="6">
        <f>IF(DD11="○",VLOOKUP(B11,'[1]Productivity-MH'!$B:$BP,67,FALSE),"")</f>
        <v>21</v>
      </c>
      <c r="DG11" s="33">
        <f t="shared" ref="DG11:DG31" si="33">IF(DF11="","",DE11/DF11)</f>
        <v>0.73333333333333339</v>
      </c>
      <c r="DH11" s="398">
        <f>IF(DD11="○",VLOOKUP(B11,'[1]Productivity-MH'!$B:$BS,70,FALSE),"")</f>
        <v>0.128</v>
      </c>
      <c r="DI11" s="3">
        <f>IF(DD11="○",VLOOKUP(B11,'[1]Productivity-MH'!$B:$BT,71,FALSE),"")</f>
        <v>1</v>
      </c>
      <c r="DJ11" s="37">
        <f t="shared" ref="DJ11:DJ31" si="34">IF(DI11="","",DI11/DH11)</f>
        <v>7.8125</v>
      </c>
      <c r="DK11" s="3">
        <v>1</v>
      </c>
      <c r="DL11" s="3">
        <v>1</v>
      </c>
      <c r="DM11" s="36" t="str">
        <f>VLOOKUP(B11,'[1]Productivity-MH'!$B:$BU,72,FALSE)</f>
        <v>RJ03D20G</v>
      </c>
      <c r="DN11" s="4" t="s">
        <v>168</v>
      </c>
      <c r="DO11" s="6">
        <f>IF(DN11="○",VLOOKUP(B11,'[1]Productivity-MH'!$B:$BR,69,FALSE),"")</f>
        <v>15.4</v>
      </c>
      <c r="DP11" s="6">
        <f>IF(DN11="○",VLOOKUP(B11,'[1]Productivity-MH'!$B:$BZ,77,FALSE),"")</f>
        <v>10</v>
      </c>
      <c r="DQ11" s="33">
        <f t="shared" ref="DQ11:DQ31" si="35">IF(DP11="","",DO11/DP11)</f>
        <v>1.54</v>
      </c>
      <c r="DR11" s="397">
        <v>0.04</v>
      </c>
      <c r="DS11" s="3">
        <v>0</v>
      </c>
      <c r="DT11" s="37">
        <f t="shared" ref="DT11:DT31" si="36">IF(DS11="","",DS11/DR11)</f>
        <v>0</v>
      </c>
      <c r="DU11" s="3">
        <v>0</v>
      </c>
      <c r="DV11" s="3">
        <v>0</v>
      </c>
      <c r="DW11" s="232"/>
      <c r="DX11" s="145"/>
      <c r="DY11" s="146"/>
      <c r="DZ11" s="146"/>
      <c r="EA11" s="147" t="str">
        <f t="shared" ref="EA11:EA14" si="37">IF(DZ11="","",DY11/DZ11)</f>
        <v/>
      </c>
      <c r="EB11" s="148"/>
      <c r="EC11" s="149"/>
      <c r="ED11" s="148" t="str">
        <f t="shared" ref="ED11:ED14" si="38">IF(EC11="","",EC11/EB11)</f>
        <v/>
      </c>
      <c r="EE11" s="149"/>
      <c r="EF11" s="149"/>
      <c r="EG11" s="232"/>
      <c r="EH11" s="145"/>
      <c r="EI11" s="146"/>
      <c r="EJ11" s="146"/>
      <c r="EK11" s="147" t="str">
        <f t="shared" ref="EK11:EK14" si="39">IF(EJ11="","",EI11/EJ11)</f>
        <v/>
      </c>
      <c r="EL11" s="148"/>
      <c r="EM11" s="149"/>
      <c r="EN11" s="148" t="str">
        <f t="shared" ref="EN11:EN14" si="40">IF(EM11="","",EM11/EL11)</f>
        <v/>
      </c>
      <c r="EO11" s="149"/>
      <c r="EP11" s="149"/>
      <c r="EQ11" s="232"/>
      <c r="ER11" s="145"/>
      <c r="ES11" s="146"/>
      <c r="ET11" s="146"/>
      <c r="EU11" s="147" t="str">
        <f t="shared" ref="EU11:EU14" si="41">IF(ET11="","",ES11/ET11)</f>
        <v/>
      </c>
      <c r="EV11" s="148"/>
      <c r="EW11" s="149"/>
      <c r="EX11" s="148" t="str">
        <f t="shared" ref="EX11:EX14" si="42">IF(EW11="","",EW11/EV11)</f>
        <v/>
      </c>
      <c r="EY11" s="149"/>
      <c r="EZ11" s="149"/>
      <c r="FA11" s="232"/>
      <c r="FB11" s="145"/>
      <c r="FC11" s="146"/>
      <c r="FD11" s="146"/>
      <c r="FE11" s="147" t="str">
        <f t="shared" ref="FE11:FE14" si="43">IF(FD11="","",FC11/FD11)</f>
        <v/>
      </c>
      <c r="FF11" s="148"/>
      <c r="FG11" s="149"/>
      <c r="FH11" s="148" t="str">
        <f t="shared" ref="FH11:FH14" si="44">IF(FG11="","",FG11/FF11)</f>
        <v/>
      </c>
      <c r="FI11" s="149"/>
      <c r="FJ11" s="149"/>
      <c r="FM11" s="54">
        <f>SUM(FF11,EV11,EL11,EB11,DR11,DH11,CX11,CN11,CD11,BT11,BJ11,AZ11)</f>
        <v>1.8480000000000001</v>
      </c>
      <c r="FN11" s="54">
        <f>SUM(FG11,EW11,EM11,EC11,DS11,DI11,CY11,CO11,CE11,BU11,BK11,BA11)</f>
        <v>8</v>
      </c>
      <c r="FO11" s="471">
        <f t="shared" ref="FO11:FP31" si="45">SUM(FC11,ES11,EI11,DY11,DO11,DE11,CU11,CK11,CA11,BQ11,BG11,AW11)</f>
        <v>116.6</v>
      </c>
      <c r="FP11" s="471">
        <f t="shared" si="45"/>
        <v>191</v>
      </c>
      <c r="FQ11" s="295">
        <f t="shared" si="20"/>
        <v>0.68578086995536869</v>
      </c>
      <c r="FR11" s="54">
        <f t="shared" si="21"/>
        <v>4.9079361618981938</v>
      </c>
      <c r="FS11">
        <f t="shared" si="22"/>
        <v>4.329004329004329</v>
      </c>
    </row>
    <row r="12" spans="2:175" ht="170.65" customHeight="1">
      <c r="B12" s="5" t="s">
        <v>696</v>
      </c>
      <c r="C12" s="5" t="s">
        <v>223</v>
      </c>
      <c r="D12" s="5" t="s">
        <v>224</v>
      </c>
      <c r="E12" s="80">
        <v>8</v>
      </c>
      <c r="F12" s="123" t="str">
        <f>IF($E12&lt;F$9,"",IF(AND(BH12&gt;0.6,BK12&lt;=8,BL12=BM12),"○","×")&amp;CHAR(10)&amp;"[P・Q]"&amp;CHAR(10)&amp;IF(BH12="","--",IF(BH12&gt;0.6,"○","×"))&amp;IF(BK12="","・--",IF(BK12&lt;=8,"・○","・×")))</f>
        <v>×
[P・Q]
○・○</v>
      </c>
      <c r="G12" s="123" t="str">
        <f>IF($E12&lt;G$9,"",IF(AND(BI12&gt;0.6,BL12&lt;=8,BM12=BN12),"○","×")&amp;CHAR(10)&amp;"[P・Q]"&amp;CHAR(10)&amp;IF(BI12="","--",IF(BI12&gt;0.6,"○","×"))&amp;IF(BL12="","・--",IF(BL12&lt;=8,"・○","・×")))</f>
        <v>×
[P・Q]
×・×</v>
      </c>
      <c r="H12" s="123" t="str">
        <f>IF($E12&lt;H$9,"",IF(AND(BS12&gt;0.6,BV12&lt;=8,BW12=BX12),"○","×")&amp;CHAR(10)&amp;"[P・Q]"&amp;CHAR(10)&amp;IF(BS12="","--",IF(BS12&gt;0.6,"○","×"))&amp;IF(BV12="","・--",IF(BV12&lt;=8,"・○","・×")))</f>
        <v>×
[P・Q]
×・×</v>
      </c>
      <c r="I12" s="123" t="str">
        <f>IF($E12&lt;I$9,"",IF(AND(CC12&gt;0.6,CF12&lt;=8,CG12=CH12),"○","×")&amp;CHAR(10)&amp;"[P・Q]"&amp;CHAR(10)&amp;IF(CC12="","--",IF(CC12&gt;0.6,"○","×"))&amp;IF(CF12="","・--",IF(CF12&lt;=8,"・○","・×")))</f>
        <v>×
[P・Q]
×・×</v>
      </c>
      <c r="J12" s="123" t="str">
        <f>IF($E12&lt;J$9,"",IF(AND(CM12&gt;0.6,CP12&lt;=8,CQ12=CR12),"○","×")&amp;CHAR(10)&amp;"[P・Q]"&amp;CHAR(10)&amp;IF(CM12="","--",IF(CM12&gt;0.6,"○","×"))&amp;IF(CP12="","・--",IF(CP12&lt;=8,"・○","・×")))</f>
        <v>×
[P・Q]
○・×</v>
      </c>
      <c r="K12" s="123" t="str">
        <f>IF($E12&lt;K$9,"",IF(AND(CW12&gt;0.6,CZ12&lt;=8,DA12=DB12),"○","×")&amp;CHAR(10)&amp;"[P・Q]"&amp;CHAR(10)&amp;IF(CW12="","--",IF(CW12&gt;0.6,"○","×"))&amp;IF(DA12="","・--",IF(DA12&lt;=8,"・○","・×")))</f>
        <v>×
[P・Q]
--・--</v>
      </c>
      <c r="L12" s="123" t="str">
        <f>IF($E12&lt;L$9,"",IF(AND(DG12&gt;0.6,DJ12&lt;=8,DK12=DL12),"○","×")&amp;CHAR(10)&amp;"[P・Q]"&amp;CHAR(10)&amp;IF(DG12="","--",IF(DG12&gt;0.6,"○","×"))&amp;IF(DJ12="","・--",IF(DJ12&lt;=8,"・○","・×")))</f>
        <v>×
[P・Q]
○・×</v>
      </c>
      <c r="M12" s="123" t="str">
        <f>IF($E12&lt;M$9,"",IF(AND(DQ12&gt;0.6,DT12&lt;=8,DU12=DV12),"○","×")&amp;CHAR(10)&amp;"[P・Q]"&amp;CHAR(10)&amp;IF(DQ12="","--",IF(DQ12&gt;0.6,"○","×"))&amp;IF(DT12="","・--",IF(DT12&lt;=8,"・○","・×")))</f>
        <v>○
[P・Q]
○・○</v>
      </c>
      <c r="N12" s="123" t="str">
        <f>IF($E12&lt;N$9,"",IF(AND(EA12&gt;0.6,ED12&lt;=8,EE12=EF12),"○","×")&amp;CHAR(10)&amp;"[P・Q]"&amp;CHAR(10)&amp;IF(EA12="","--",IF(EA12&gt;0.6,"○","×"))&amp;IF(ED12="","・--",IF(ED12&lt;=8,"・○","・×")))</f>
        <v/>
      </c>
      <c r="O12" s="123" t="str">
        <f>IF($E12&lt;O$9,"",IF(AND(EK12&gt;0.6,EN12&lt;=8,EO12=EP12),"○","×")&amp;CHAR(10)&amp;"[P・Q]"&amp;CHAR(10)&amp;IF(EK12="","--",IF(EK12&gt;0.6,"○","×"))&amp;IF(EN12="","・--",IF(EN12&lt;=8,"・○","・×")))</f>
        <v/>
      </c>
      <c r="P12" s="123" t="str">
        <f>IF($E12&lt;P$9,"",IF(AND(EU12&gt;0.6,EX12&lt;=8,EY12=EZ12),"○","×")&amp;CHAR(10)&amp;"[P・Q]"&amp;CHAR(10)&amp;IF(EU12="","--",IF(EU12&gt;0.6,"○","×"))&amp;IF(EX12="","・--",IF(EX12&lt;=8,"・○","・×")))</f>
        <v/>
      </c>
      <c r="Q12" s="123" t="str">
        <f>IF($E12&lt;Q$9,"",IF(AND(FE12&gt;0.6,FH12&lt;=8,FI12=FJ12),"○","×")&amp;CHAR(10)&amp;"[P・Q]"&amp;CHAR(10)&amp;IF(FE12="","--",IF(FE12&gt;0.6,"○","×"))&amp;IF(FH12="","・--",IF(FH12&lt;=8,"・○","・×")))</f>
        <v/>
      </c>
      <c r="R12" s="511">
        <f>COUNTIF(AU12:FJ12,"○")/E12</f>
        <v>0.875</v>
      </c>
      <c r="S12" s="80">
        <v>5</v>
      </c>
      <c r="T12" s="80">
        <v>5</v>
      </c>
      <c r="U12" s="80">
        <v>5</v>
      </c>
      <c r="V12" s="80">
        <v>2</v>
      </c>
      <c r="W12" s="123">
        <f>((COUNTIF(AY12,"&gt;=0.6")+COUNTIF(BI12,"&gt;=0.6")+COUNTIF(BS12,"&gt;=0.6")+COUNTIF(CC12,"&gt;=0.6")+COUNTIF(CM12,"&gt;=0.6")+COUNTIF(CW12,"&gt;=0.6")+COUNTIF(DG12,"&gt;=0.6")+COUNTIF(DQ12,"&gt;=0.6")+COUNTIF(EA12,"&gt;=0.6")+COUNTIF(EK12,"&gt;=0.6")+COUNTIF(EU12,"&gt;=0.6")+COUNTIF(FE12,"&gt;=0.6"))*(75/(E12*2)))</f>
        <v>14.0625</v>
      </c>
      <c r="X12" s="123">
        <f>((COUNTIF(BB12,"&lt;=8")+COUNTIF(BL12,"&lt;=8")+COUNTIF(BV12,"&lt;=8")+COUNTIF(CF12,"&lt;=8")+COUNTIF(CP12,"&lt;=8")+COUNTIF(CZ12,"&lt;=8")+COUNTIF(DJ12,"&lt;=8")+COUNTIF(DT12,"&lt;=8")+COUNTIF(ED12,"&lt;=8")+COUNTIF(EN12,"&lt;=8")+COUNTIF(EX12,"&lt;=8")+COUNTIF(FH12,"&lt;=8"))*(75/(E12*2)))</f>
        <v>4.6875</v>
      </c>
      <c r="Y12" s="123" cm="1">
        <f t="array" ref="Y12">_xlfn.IFS(R12&gt;=0.8,5,R12&gt;=0.6,3,R12&gt;=0.2,1,R12&lt;0.2,0)</f>
        <v>5</v>
      </c>
      <c r="Z12" s="512">
        <f>SUM(S12:Y12)</f>
        <v>40.75</v>
      </c>
      <c r="AA12" s="5" t="s">
        <v>697</v>
      </c>
      <c r="AB12" s="5" t="s">
        <v>698</v>
      </c>
      <c r="AC12" s="80" t="s">
        <v>226</v>
      </c>
      <c r="AD12" s="5" t="s">
        <v>699</v>
      </c>
      <c r="AE12" s="5"/>
      <c r="AF12" s="5" t="s">
        <v>700</v>
      </c>
      <c r="AG12" s="5"/>
      <c r="AH12" s="201">
        <f>IFERROR(AVERAGE(AY12,BI12,BS12,CC12,CM12,CW12,DG12,DQ12,EA12,EK12)," ")</f>
        <v>0.50652921465534517</v>
      </c>
      <c r="AI12" s="202">
        <f>IFERROR(AVERAGE(BB12,BL12,BV12,CF12,CP12,CZ12,DJ12,DT12,ED12,EN12)," ")</f>
        <v>16.740855723482081</v>
      </c>
      <c r="AJ12" s="80" t="str">
        <f>IFERROR(IF(AH12&gt;=0.6,"HIGH","LOW"),"")</f>
        <v>LOW</v>
      </c>
      <c r="AK12" s="80" t="str">
        <f>IFERROR(IF(AI12&lt;=8,"HIGH","LOW"),"")</f>
        <v>LOW</v>
      </c>
      <c r="AL12" s="133" t="s">
        <v>701</v>
      </c>
      <c r="AM12" s="237" t="s">
        <v>702</v>
      </c>
      <c r="AN12" s="126" t="str">
        <f>IF(AND(Z12&gt;Summary!$C$5, Z12&lt;=Summary!$D$5),Summary!$B$5,IF(AND(Z12&gt;Summary!$C$6, Z12&lt;=Summary!$D$6),Summary!$B$6,IF(AND(Z12&gt;Summary!$C$7, Z12&lt;=Summary!$D$7),Summary!$B$7,Summary!$B$8)))</f>
        <v>△</v>
      </c>
      <c r="AO12" s="126" t="s">
        <v>174</v>
      </c>
      <c r="AP12" s="126"/>
      <c r="AQ12" s="126"/>
      <c r="AR12" s="126"/>
      <c r="AS12" s="126" t="s">
        <v>168</v>
      </c>
      <c r="AT12" s="29" t="s">
        <v>703</v>
      </c>
      <c r="AU12" s="82" t="str">
        <f>$AU$1&amp;" "&amp;VLOOKUP(B12,'[1]Productivity-MH'!$B:$C,2,FALSE)</f>
        <v>Hiroshima RJ02400G</v>
      </c>
      <c r="AV12" s="4" t="s">
        <v>168</v>
      </c>
      <c r="AW12" s="6">
        <f>IF(AV12="○",VLOOKUP(B12,'[1]Productivity-MH'!$B:$J,9,FALSE)," ")</f>
        <v>10.4</v>
      </c>
      <c r="AX12" s="6">
        <f>IF(AV12="○",VLOOKUP(B12,'[1]Productivity-MH'!$B:$H,7,FALSE)," ")</f>
        <v>30</v>
      </c>
      <c r="AY12" s="33">
        <f>IFERROR(IF(AX12="","",AW12/AX12)," ")</f>
        <v>0.34666666666666668</v>
      </c>
      <c r="AZ12" s="42">
        <f>IF(AV12="○",VLOOKUP(B12,'[1]Productivity-MH'!$B:$K,10,FALSE)," ")</f>
        <v>6.6000000000000003E-2</v>
      </c>
      <c r="BA12" s="3">
        <f>IF(AV12="○",VLOOKUP(B12,'[1]Productivity-MH'!$B:$L,11,FALSE)," ")</f>
        <v>2</v>
      </c>
      <c r="BB12" s="37">
        <f>IFERROR(IF(BA12="","",BA12/AZ12)," ")</f>
        <v>30.303030303030301</v>
      </c>
      <c r="BC12" s="3">
        <v>2</v>
      </c>
      <c r="BD12" s="3">
        <v>2</v>
      </c>
      <c r="BE12" s="80" t="str">
        <f>$AU$1&amp;" "&amp;VLOOKUP(B12,'[1]Productivity-MH'!$B:$M,12,FALSE)</f>
        <v>Hiroshima RJ06ZC0G</v>
      </c>
      <c r="BF12" s="4" t="s">
        <v>168</v>
      </c>
      <c r="BG12" s="6">
        <f>IF(BF12="○",VLOOKUP(B12,'[1]Productivity-MH'!$B:$T,19,FALSE),"")</f>
        <v>10.5</v>
      </c>
      <c r="BH12" s="6">
        <f>IF(BF12="○",VLOOKUP(B12,'[1]Productivity-MH'!$B:$R,17,FALSE),"")</f>
        <v>46.5</v>
      </c>
      <c r="BI12" s="33">
        <f>IFERROR(IF(BH12="","",BG12/BH12)," ")</f>
        <v>0.22580645161290322</v>
      </c>
      <c r="BJ12" s="42">
        <f>IF(BF12="○",VLOOKUP(B12,'[1]Productivity-MH'!$B:$U,20,FALSE),"")</f>
        <v>0.22900000000000001</v>
      </c>
      <c r="BK12" s="3">
        <f>IF(BF12="○",VLOOKUP(B12,'[1]Productivity-MH'!$B:$V,21,FALSE),"")</f>
        <v>2</v>
      </c>
      <c r="BL12" s="37">
        <f>IFERROR(IF(BK12="","",BK12/BJ12)," ")</f>
        <v>8.7336244541484707</v>
      </c>
      <c r="BM12" s="3">
        <v>2</v>
      </c>
      <c r="BN12" s="3">
        <v>2</v>
      </c>
      <c r="BO12" s="80" t="str">
        <f>$AU$1&amp;" "&amp;VLOOKUP(B12,'[1]Productivity-MH'!$B:$W,22,FALSE)</f>
        <v>Hiroshima N203990G</v>
      </c>
      <c r="BP12" s="4" t="s">
        <v>168</v>
      </c>
      <c r="BQ12" s="6">
        <f>IF(BP12="○",VLOOKUP(B12,'[1]Productivity-MH'!$B:$AD,29,FALSE),"")</f>
        <v>23.3</v>
      </c>
      <c r="BR12" s="6">
        <f>IF(BP12="○",VLOOKUP(B12,'[1]Productivity-MH'!$B:$AB,27,FALSE),"")</f>
        <v>58</v>
      </c>
      <c r="BS12" s="33">
        <f>IF(BR12="","",BQ12/BR12)</f>
        <v>0.40172413793103451</v>
      </c>
      <c r="BT12" s="42">
        <f>IF(BP12="○",VLOOKUP(B12,'[1]Productivity-MH'!$B:$AE,30,FALSE),"")</f>
        <v>1.6020000000000001</v>
      </c>
      <c r="BU12" s="132">
        <v>16</v>
      </c>
      <c r="BV12" s="37">
        <f>IF(BU12="","",BU12/BT12)</f>
        <v>9.9875156054931331</v>
      </c>
      <c r="BW12" s="3">
        <v>16</v>
      </c>
      <c r="BX12" s="3">
        <v>16</v>
      </c>
      <c r="BY12" s="80" t="str">
        <f>$AU$1&amp;" "&amp;VLOOKUP(B12,'[1]Productivity-MH'!$B:$AG,32,FALSE)</f>
        <v>Hiroshima N205610G</v>
      </c>
      <c r="BZ12" s="4" t="s">
        <v>168</v>
      </c>
      <c r="CA12" s="6">
        <f>IF(BZ12="○",VLOOKUP(B12,'[1]Productivity-MH'!$B:$AN,39,FALSE),"")</f>
        <v>10.4</v>
      </c>
      <c r="CB12" s="6">
        <f>IF(BZ12="○",VLOOKUP(B12,'[1]Productivity-MH'!$B:$AL,37,FALSE),"")</f>
        <v>23</v>
      </c>
      <c r="CC12" s="33">
        <f>IF(CB12="","",CA12/CB12)</f>
        <v>0.45217391304347826</v>
      </c>
      <c r="CD12" s="42">
        <f>IF(BZ12="○",VLOOKUP(B12,'[1]Productivity-MH'!$B:$AO,40,FALSE),"")</f>
        <v>0.10199999999999999</v>
      </c>
      <c r="CE12" s="3">
        <f>IF(BZ12="○",VLOOKUP(B12,'[1]Productivity-MH'!$B:$AP,41,FALSE),"")</f>
        <v>2</v>
      </c>
      <c r="CF12" s="37">
        <f>IFERROR(IF(CE12="","",CE12/CD12)," ")</f>
        <v>19.607843137254903</v>
      </c>
      <c r="CG12" s="3">
        <v>2</v>
      </c>
      <c r="CH12" s="3">
        <v>2</v>
      </c>
      <c r="CI12" s="80" t="str">
        <f>$AU$1&amp;" "&amp;VLOOKUP(B12,'[1]Productivity-MH'!$B:$AQ,42,FALSE)</f>
        <v>Hiroshima N284670G</v>
      </c>
      <c r="CJ12" s="4" t="s">
        <v>168</v>
      </c>
      <c r="CK12" s="6">
        <f>IF(CJ12="○",VLOOKUP(B12,'[1]Productivity-MH'!$B:$AX,49,FALSE),"")</f>
        <v>15.4</v>
      </c>
      <c r="CL12" s="6">
        <f>IF(CJ12="○",VLOOKUP(B12,'[1]Productivity-MH'!$B:$AV,47,FALSE),"")</f>
        <v>25</v>
      </c>
      <c r="CM12" s="33">
        <f>IF(CL12="","",CK12/CL12)</f>
        <v>0.61599999999999999</v>
      </c>
      <c r="CN12" s="42">
        <f>IF(CJ12="○",VLOOKUP(B12,'[1]Productivity-MH'!$B:$AY,50,FALSE),"")</f>
        <v>0.191</v>
      </c>
      <c r="CO12" s="3">
        <f>IF(CJ12="○",VLOOKUP(B12,'[1]Productivity-MH'!$B:$AZ,51,FALSE),"")</f>
        <v>7</v>
      </c>
      <c r="CP12" s="37">
        <f>IF(CO12="","",CO12/CN12)</f>
        <v>36.64921465968586</v>
      </c>
      <c r="CQ12" s="3">
        <v>7</v>
      </c>
      <c r="CR12" s="3">
        <v>7</v>
      </c>
      <c r="CS12" s="80" t="str">
        <f>$AU$1&amp;" "&amp;VLOOKUP(B12,'[1]Productivity-MH'!$B:$BA,52,FALSE)</f>
        <v>Hiroshima N284680G</v>
      </c>
      <c r="CT12" s="4"/>
      <c r="CU12" s="6" t="str">
        <f>IF(CT12="○",VLOOKUP(B12,'[1]Productivity-MH'!$B:$BH,59,FALSE),"")</f>
        <v/>
      </c>
      <c r="CV12" s="6" t="str">
        <f>IF(CT12="○",VLOOKUP(B12,'[1]Productivity-MH'!$B:$BF,57,FALSE),"")</f>
        <v/>
      </c>
      <c r="CW12" s="33" t="str">
        <f>IF(CV12="","",CU12/CV12)</f>
        <v/>
      </c>
      <c r="CX12" s="42" t="str">
        <f>IF(CT12="○",VLOOKUP(B12,'[1]Productivity-MH'!$B:$BI,60,FALSE),"")</f>
        <v/>
      </c>
      <c r="CY12" s="3" t="str">
        <f>IF(CT12="○",VLOOKUP(B12,'[1]Productivity-MH'!$B:$BJ,61,FALSE),"")</f>
        <v/>
      </c>
      <c r="CZ12" s="37" t="str">
        <f>IF(CY12="","",CY12/CX12)</f>
        <v/>
      </c>
      <c r="DA12" s="3"/>
      <c r="DB12" s="3"/>
      <c r="DC12" s="36" t="str">
        <f>$AU$1&amp;" "&amp;VLOOKUP(B12,'[1]Productivity-MH'!$B:$BK,62,FALSE)</f>
        <v>Hiroshima RJ05800G</v>
      </c>
      <c r="DD12" s="4" t="s">
        <v>168</v>
      </c>
      <c r="DE12" s="6">
        <f>IF(DD12="○",VLOOKUP(B12,'[1]Productivity-MH'!$B:$BR,69,FALSE),"")</f>
        <v>15.4</v>
      </c>
      <c r="DF12" s="6">
        <v>20</v>
      </c>
      <c r="DG12" s="33">
        <f>IF(DF12="","",DE12/DF12)</f>
        <v>0.77</v>
      </c>
      <c r="DH12" s="198">
        <f>IF(DD12="○",VLOOKUP(B12,'[1]Productivity-MH'!$B:$BS,70,FALSE),"")</f>
        <v>8.4000000000000005E-2</v>
      </c>
      <c r="DI12" s="403">
        <f>IF(DD12="○",VLOOKUP(B12,'[1]Productivity-MH'!$B:$BT,71,FALSE),"")</f>
        <v>1</v>
      </c>
      <c r="DJ12" s="37">
        <f>IF(DI12="","",DI12/DH12)</f>
        <v>11.904761904761903</v>
      </c>
      <c r="DK12" s="3">
        <v>1</v>
      </c>
      <c r="DL12" s="3">
        <v>1</v>
      </c>
      <c r="DM12" s="36" t="str">
        <f>VLOOKUP(B12,'[1]Productivity-MH'!$B:$BU,72,FALSE)</f>
        <v>RJ03410G</v>
      </c>
      <c r="DN12" s="4" t="s">
        <v>168</v>
      </c>
      <c r="DO12" s="6">
        <f>IF(DN12="○",VLOOKUP(B12,'[1]Productivity-MH'!$B:$BR,69,FALSE),"")</f>
        <v>15.4</v>
      </c>
      <c r="DP12" s="6">
        <f>IF(DN12="○",VLOOKUP(B12,'[1]Productivity-MH'!$B:$BZ,77,FALSE),"")</f>
        <v>21</v>
      </c>
      <c r="DQ12" s="33">
        <f>IF(DP12="","",DO12/DP12)</f>
        <v>0.73333333333333339</v>
      </c>
      <c r="DR12" s="399">
        <v>0.22</v>
      </c>
      <c r="DS12" s="132">
        <v>0</v>
      </c>
      <c r="DT12" s="37">
        <f>IF(DS12="","",DS12/DR12)</f>
        <v>0</v>
      </c>
      <c r="DU12" s="3">
        <v>0</v>
      </c>
      <c r="DV12" s="3">
        <v>0</v>
      </c>
      <c r="DW12" s="232"/>
      <c r="DX12" s="145"/>
      <c r="DY12" s="146"/>
      <c r="DZ12" s="146"/>
      <c r="EA12" s="147" t="str">
        <f>IF(DZ12="","",DY12/DZ12)</f>
        <v/>
      </c>
      <c r="EB12" s="148"/>
      <c r="EC12" s="149"/>
      <c r="ED12" s="148" t="str">
        <f>IF(EC12="","",EC12/EB12)</f>
        <v/>
      </c>
      <c r="EE12" s="149"/>
      <c r="EF12" s="149"/>
      <c r="EG12" s="232"/>
      <c r="EH12" s="145"/>
      <c r="EI12" s="146"/>
      <c r="EJ12" s="146"/>
      <c r="EK12" s="147" t="str">
        <f>IF(EJ12="","",EI12/EJ12)</f>
        <v/>
      </c>
      <c r="EL12" s="148"/>
      <c r="EM12" s="149"/>
      <c r="EN12" s="148" t="str">
        <f>IF(EM12="","",EM12/EL12)</f>
        <v/>
      </c>
      <c r="EO12" s="149"/>
      <c r="EP12" s="149"/>
      <c r="EQ12" s="232"/>
      <c r="ER12" s="145"/>
      <c r="ES12" s="146"/>
      <c r="ET12" s="146"/>
      <c r="EU12" s="147" t="str">
        <f>IF(ET12="","",ES12/ET12)</f>
        <v/>
      </c>
      <c r="EV12" s="148"/>
      <c r="EW12" s="149"/>
      <c r="EX12" s="148" t="str">
        <f>IF(EW12="","",EW12/EV12)</f>
        <v/>
      </c>
      <c r="EY12" s="149"/>
      <c r="EZ12" s="149"/>
      <c r="FA12" s="232"/>
      <c r="FB12" s="145"/>
      <c r="FC12" s="146"/>
      <c r="FD12" s="146"/>
      <c r="FE12" s="147" t="str">
        <f>IF(FD12="","",FC12/FD12)</f>
        <v/>
      </c>
      <c r="FF12" s="148"/>
      <c r="FG12" s="149"/>
      <c r="FH12" s="148" t="str">
        <f>IF(FG12="","",FG12/FF12)</f>
        <v/>
      </c>
      <c r="FI12" s="149"/>
      <c r="FJ12" s="149"/>
      <c r="FM12" s="54">
        <f t="shared" ref="FM12:FN31" si="46">SUM(FF12,EV12,EL12,EB12,DR12,DH12,CX12,CN12,CD12,BT12,BJ12,AZ12)</f>
        <v>2.4939999999999998</v>
      </c>
      <c r="FN12" s="54">
        <f t="shared" si="46"/>
        <v>30</v>
      </c>
      <c r="FO12" s="471">
        <f t="shared" si="45"/>
        <v>100.80000000000001</v>
      </c>
      <c r="FP12" s="471">
        <f t="shared" si="45"/>
        <v>223.5</v>
      </c>
      <c r="FQ12" s="295">
        <f t="shared" si="20"/>
        <v>0.50652921465534517</v>
      </c>
      <c r="FR12" s="54">
        <f t="shared" si="21"/>
        <v>16.740855723482081</v>
      </c>
      <c r="FS12">
        <f t="shared" si="22"/>
        <v>12.02886928628709</v>
      </c>
    </row>
    <row r="13" spans="2:175" ht="107.85" customHeight="1">
      <c r="B13" s="5" t="s">
        <v>704</v>
      </c>
      <c r="C13" s="5" t="s">
        <v>223</v>
      </c>
      <c r="D13" s="5" t="s">
        <v>224</v>
      </c>
      <c r="E13" s="36">
        <v>5</v>
      </c>
      <c r="F13" s="123" t="str">
        <f t="shared" ref="F13:F31" si="47">IF($E13&lt;F$9,"",IF(AND(AY13&gt;0.6,BB13&lt;=8,BC13=BD13),"○","×")&amp;CHAR(10)&amp;"[P・Q]"&amp;CHAR(10)&amp;IF(AY13="","--",IF(AY13&gt;0.6,"○","×"))&amp;IF(BB13="","・--",IF(BB13&lt;=8,"・○","・×")))</f>
        <v>×
[P・Q]
×・○</v>
      </c>
      <c r="G13" s="123" t="str">
        <f t="shared" si="1"/>
        <v>×
[P・Q]
×・○</v>
      </c>
      <c r="H13" s="123" t="str">
        <f t="shared" si="2"/>
        <v>×
[P・Q]
×・○</v>
      </c>
      <c r="I13" s="123" t="str">
        <f t="shared" si="3"/>
        <v>○
[P・Q]
○・○</v>
      </c>
      <c r="J13" s="123" t="str">
        <f t="shared" si="4"/>
        <v>×
[P・Q]
--・--</v>
      </c>
      <c r="K13" s="123" t="str">
        <f>IF($E13&lt;K$9,"",IF(AND(CW13&gt;0.6,CZ13&lt;=8,DA13=DB13),"○","×")&amp;CHAR(10)&amp;"[P・Q]"&amp;CHAR(10)&amp;IF(CW13="","--",IF(CW13&gt;0.6,"○","×"))&amp;IF(DA13="","・--",IF(DA13&lt;=8,"・○","・×")))</f>
        <v/>
      </c>
      <c r="L13" s="123" t="str">
        <f t="shared" si="5"/>
        <v/>
      </c>
      <c r="M13" s="123" t="str">
        <f t="shared" si="6"/>
        <v/>
      </c>
      <c r="N13" s="123" t="str">
        <f t="shared" si="7"/>
        <v/>
      </c>
      <c r="O13" s="123" t="str">
        <f t="shared" si="8"/>
        <v/>
      </c>
      <c r="P13" s="123" t="str">
        <f t="shared" si="9"/>
        <v/>
      </c>
      <c r="Q13" s="123" t="str">
        <f t="shared" si="10"/>
        <v/>
      </c>
      <c r="R13" s="511">
        <f t="shared" si="11"/>
        <v>0.8</v>
      </c>
      <c r="S13" s="36">
        <v>5</v>
      </c>
      <c r="T13" s="36">
        <v>5</v>
      </c>
      <c r="U13" s="36">
        <v>5</v>
      </c>
      <c r="V13" s="36">
        <v>3</v>
      </c>
      <c r="W13" s="513">
        <f t="shared" si="12"/>
        <v>7.5</v>
      </c>
      <c r="X13" s="513">
        <f t="shared" si="13"/>
        <v>30</v>
      </c>
      <c r="Y13" s="513" cm="1">
        <f t="array" ref="Y13">_xlfn.IFS(R13&gt;=0.8,5,R13&gt;=0.6,3,R13&gt;=0.2,1,R13&lt;0.2,0)</f>
        <v>5</v>
      </c>
      <c r="Z13" s="512">
        <f t="shared" ref="Z13:Z25" si="48">SUM(S13:Y13)</f>
        <v>60.5</v>
      </c>
      <c r="AA13" s="5" t="s">
        <v>705</v>
      </c>
      <c r="AB13" s="5" t="s">
        <v>698</v>
      </c>
      <c r="AC13" s="80" t="s">
        <v>251</v>
      </c>
      <c r="AD13" s="5" t="s">
        <v>706</v>
      </c>
      <c r="AE13" s="5"/>
      <c r="AF13" s="5" t="s">
        <v>707</v>
      </c>
      <c r="AG13" s="5"/>
      <c r="AH13" s="201">
        <f t="shared" si="23"/>
        <v>0.55507814424735158</v>
      </c>
      <c r="AI13" s="202">
        <f t="shared" si="24"/>
        <v>2.8866211888122537</v>
      </c>
      <c r="AJ13" s="80" t="str">
        <f t="shared" si="14"/>
        <v>LOW</v>
      </c>
      <c r="AK13" s="80" t="str">
        <f t="shared" si="15"/>
        <v>HIGH</v>
      </c>
      <c r="AL13" s="215" t="s">
        <v>708</v>
      </c>
      <c r="AM13" s="214" t="s">
        <v>709</v>
      </c>
      <c r="AN13" s="126" t="str">
        <f>IF(AND(Z13&gt;Summary!$C$5, Z13&lt;=Summary!$D$5),Summary!$B$5,IF(AND(Z13&gt;Summary!$C$6, Z13&lt;=Summary!$D$6),Summary!$B$6,IF(AND(Z13&gt;Summary!$C$7, Z13&lt;=Summary!$D$7),Summary!$B$7,Summary!$B$8)))</f>
        <v>○</v>
      </c>
      <c r="AO13" s="126" t="s">
        <v>168</v>
      </c>
      <c r="AP13" s="126"/>
      <c r="AQ13" s="126"/>
      <c r="AR13" s="126" t="s">
        <v>168</v>
      </c>
      <c r="AS13" s="126"/>
      <c r="AT13" s="354" t="s">
        <v>710</v>
      </c>
      <c r="AU13" s="80" t="str">
        <f>$AU$1&amp;" "&amp;VLOOKUP(B13,'[1]Productivity-MH'!$B:$C,2,FALSE)</f>
        <v>Hiroshima RJ06ZB0G</v>
      </c>
      <c r="AV13" s="4" t="s">
        <v>168</v>
      </c>
      <c r="AW13" s="6">
        <f>IF(AV13="○",VLOOKUP(B13,'[1]Productivity-MH'!$B:$J,9,FALSE)," ")</f>
        <v>22.700000000000003</v>
      </c>
      <c r="AX13" s="6">
        <f>IF(AV13="○",VLOOKUP(B13,'[1]Productivity-MH'!$B:$H,7,FALSE)," ")</f>
        <v>48</v>
      </c>
      <c r="AY13" s="33">
        <f t="shared" si="16"/>
        <v>0.47291666666666671</v>
      </c>
      <c r="AZ13" s="42">
        <f>IF(AV13="○",VLOOKUP(B13,'[1]Productivity-MH'!$B:$K,10,FALSE)," ")</f>
        <v>2.8</v>
      </c>
      <c r="BA13" s="3">
        <f>IF(AV13="○",VLOOKUP(B13,'[1]Productivity-MH'!$B:$L,11,FALSE)," ")</f>
        <v>0</v>
      </c>
      <c r="BB13" s="37">
        <f t="shared" si="17"/>
        <v>0</v>
      </c>
      <c r="BC13" s="3">
        <v>0</v>
      </c>
      <c r="BD13" s="3">
        <v>0</v>
      </c>
      <c r="BE13" s="80" t="str">
        <f>$AU$1&amp;" "&amp;VLOOKUP(B13,'[1]Productivity-MH'!$B:$M,12,FALSE)</f>
        <v>Hiroshima RJ06ZB1G</v>
      </c>
      <c r="BF13" s="4" t="s">
        <v>168</v>
      </c>
      <c r="BG13" s="6">
        <f>IF(BF13="○",VLOOKUP(B13,'[1]Productivity-MH'!$B:$T,19,FALSE),"")</f>
        <v>22.700000000000003</v>
      </c>
      <c r="BH13" s="6">
        <f>IF(BF13="○",VLOOKUP(B13,'[1]Productivity-MH'!$B:$R,17,FALSE),"")</f>
        <v>41</v>
      </c>
      <c r="BI13" s="33">
        <f t="shared" si="18"/>
        <v>0.5536585365853659</v>
      </c>
      <c r="BJ13" s="42">
        <f>IF(BF13="○",VLOOKUP(B13,'[1]Productivity-MH'!$B:$U,20,FALSE),"")</f>
        <v>1.5820000000000001</v>
      </c>
      <c r="BK13" s="3">
        <f>IF(BF13="○",VLOOKUP(B13,'[1]Productivity-MH'!$B:$V,21,FALSE),"")</f>
        <v>8</v>
      </c>
      <c r="BL13" s="37">
        <f t="shared" si="19"/>
        <v>5.0568900126422252</v>
      </c>
      <c r="BM13" s="3">
        <v>8</v>
      </c>
      <c r="BN13" s="3">
        <v>8</v>
      </c>
      <c r="BO13" s="80" t="str">
        <f>$AU$1&amp;" "&amp;VLOOKUP(B13,'[1]Productivity-MH'!$B:$W,22,FALSE)</f>
        <v>Hiroshima N2J1030G</v>
      </c>
      <c r="BP13" s="4" t="s">
        <v>168</v>
      </c>
      <c r="BQ13" s="6">
        <f>IF(BP13="○",VLOOKUP(B13,'[1]Productivity-MH'!$B:$AD,29,FALSE),"")</f>
        <v>22.900000000000002</v>
      </c>
      <c r="BR13" s="6">
        <f>IF(BP13="○",VLOOKUP(B13,'[1]Productivity-MH'!$B:$AB,27,FALSE),"")</f>
        <v>45</v>
      </c>
      <c r="BS13" s="33">
        <f t="shared" si="25"/>
        <v>0.50888888888888895</v>
      </c>
      <c r="BT13" s="42">
        <f>IF(BP13="○",VLOOKUP(B13,'[1]Productivity-MH'!$B:$AE,30,FALSE),"")</f>
        <v>1.66</v>
      </c>
      <c r="BU13" s="3">
        <f>IF(BP13="○",VLOOKUP(B13,'[1]Productivity-MH'!$B:$AF,31,FALSE),"")</f>
        <v>7</v>
      </c>
      <c r="BV13" s="37">
        <f t="shared" si="26"/>
        <v>4.2168674698795181</v>
      </c>
      <c r="BW13" s="3">
        <v>7</v>
      </c>
      <c r="BX13" s="3">
        <v>7</v>
      </c>
      <c r="BY13" s="80" t="str">
        <f>$AU$1&amp;" "&amp;VLOOKUP(B13,'[1]Productivity-MH'!$B:$AG,32,FALSE)</f>
        <v>Hiroshima N2J1031G</v>
      </c>
      <c r="BZ13" s="4" t="s">
        <v>168</v>
      </c>
      <c r="CA13" s="6">
        <f>IF(BZ13="○",VLOOKUP(B13,'[1]Productivity-MH'!$B:$AN,39,FALSE),"")</f>
        <v>11.3</v>
      </c>
      <c r="CB13" s="6">
        <f>IF(BZ13="○",VLOOKUP(B13,'[1]Productivity-MH'!$B:$AL,37,FALSE),"")</f>
        <v>16.5</v>
      </c>
      <c r="CC13" s="33">
        <f t="shared" si="27"/>
        <v>0.68484848484848493</v>
      </c>
      <c r="CD13" s="42">
        <f>IF(BZ13="○",VLOOKUP(B13,'[1]Productivity-MH'!$B:$AO,40,FALSE),"")</f>
        <v>1.32</v>
      </c>
      <c r="CE13" s="3">
        <f>IF(BZ13="○",VLOOKUP(B13,'[1]Productivity-MH'!$B:$AP,41,FALSE),"")</f>
        <v>3</v>
      </c>
      <c r="CF13" s="37">
        <f t="shared" si="28"/>
        <v>2.2727272727272725</v>
      </c>
      <c r="CG13" s="3"/>
      <c r="CH13" s="3"/>
      <c r="CI13" s="80" t="str">
        <f>$AU$1&amp;" "&amp;VLOOKUP(B13,'[1]Productivity-MH'!$B:$AQ,42,FALSE)</f>
        <v>Hiroshima N204470G</v>
      </c>
      <c r="CJ13" s="4"/>
      <c r="CK13" s="6" t="str">
        <f>IF(CJ13="○",VLOOKUP(B13,'[1]Productivity-MH'!$B:$AX,49,FALSE),"")</f>
        <v/>
      </c>
      <c r="CL13" s="6" t="str">
        <f>IF(CJ13="○",VLOOKUP(B13,'[1]Productivity-MH'!$B:$AV,47,FALSE),"")</f>
        <v/>
      </c>
      <c r="CM13" s="33" t="str">
        <f>IF(CK13="","",#REF!/CK13)</f>
        <v/>
      </c>
      <c r="CN13" s="42" t="str">
        <f>IF(CJ13="○",VLOOKUP(B13,'[1]Productivity-MH'!$B:$AY,50,FALSE),"")</f>
        <v/>
      </c>
      <c r="CO13" s="3" t="str">
        <f>IF(CJ13="○",VLOOKUP(B13,'[1]Productivity-MH'!$B:$AZ,51,FALSE),"")</f>
        <v/>
      </c>
      <c r="CP13" s="37" t="str">
        <f t="shared" si="30"/>
        <v/>
      </c>
      <c r="CQ13" s="3"/>
      <c r="CR13" s="3"/>
      <c r="CS13" s="232"/>
      <c r="CT13" s="145"/>
      <c r="CU13" s="146"/>
      <c r="CV13" s="146"/>
      <c r="CW13" s="147"/>
      <c r="CX13" s="148"/>
      <c r="CY13" s="149"/>
      <c r="CZ13" s="148"/>
      <c r="DA13" s="149"/>
      <c r="DB13" s="149"/>
      <c r="DC13" s="400"/>
      <c r="DD13" s="145"/>
      <c r="DE13" s="146"/>
      <c r="DF13" s="146"/>
      <c r="DG13" s="147"/>
      <c r="DH13" s="148"/>
      <c r="DI13" s="149"/>
      <c r="DJ13" s="148"/>
      <c r="DK13" s="149"/>
      <c r="DL13" s="149"/>
      <c r="DM13" s="400"/>
      <c r="DN13" s="145"/>
      <c r="DO13" s="146"/>
      <c r="DP13" s="146"/>
      <c r="DQ13" s="147"/>
      <c r="DR13" s="148"/>
      <c r="DS13" s="149"/>
      <c r="DT13" s="148"/>
      <c r="DU13" s="149"/>
      <c r="DV13" s="149"/>
      <c r="DW13" s="232"/>
      <c r="DX13" s="145"/>
      <c r="DY13" s="146"/>
      <c r="DZ13" s="146"/>
      <c r="EA13" s="147" t="str">
        <f t="shared" si="37"/>
        <v/>
      </c>
      <c r="EB13" s="148"/>
      <c r="EC13" s="149"/>
      <c r="ED13" s="148" t="str">
        <f t="shared" si="38"/>
        <v/>
      </c>
      <c r="EE13" s="149"/>
      <c r="EF13" s="149"/>
      <c r="EG13" s="232"/>
      <c r="EH13" s="145"/>
      <c r="EI13" s="146"/>
      <c r="EJ13" s="146"/>
      <c r="EK13" s="147" t="str">
        <f t="shared" si="39"/>
        <v/>
      </c>
      <c r="EL13" s="148"/>
      <c r="EM13" s="149"/>
      <c r="EN13" s="148" t="str">
        <f t="shared" si="40"/>
        <v/>
      </c>
      <c r="EO13" s="149"/>
      <c r="EP13" s="149"/>
      <c r="EQ13" s="232"/>
      <c r="ER13" s="145"/>
      <c r="ES13" s="146"/>
      <c r="ET13" s="146"/>
      <c r="EU13" s="147" t="str">
        <f t="shared" si="41"/>
        <v/>
      </c>
      <c r="EV13" s="148"/>
      <c r="EW13" s="149"/>
      <c r="EX13" s="148" t="str">
        <f t="shared" si="42"/>
        <v/>
      </c>
      <c r="EY13" s="149"/>
      <c r="EZ13" s="149"/>
      <c r="FA13" s="232"/>
      <c r="FB13" s="145"/>
      <c r="FC13" s="146"/>
      <c r="FD13" s="146"/>
      <c r="FE13" s="147" t="str">
        <f t="shared" si="43"/>
        <v/>
      </c>
      <c r="FF13" s="148"/>
      <c r="FG13" s="149"/>
      <c r="FH13" s="148" t="str">
        <f t="shared" si="44"/>
        <v/>
      </c>
      <c r="FI13" s="149"/>
      <c r="FJ13" s="149"/>
      <c r="FM13" s="54">
        <f t="shared" si="46"/>
        <v>7.3620000000000001</v>
      </c>
      <c r="FN13" s="54">
        <f t="shared" si="46"/>
        <v>18</v>
      </c>
      <c r="FO13" s="471">
        <f t="shared" si="45"/>
        <v>79.600000000000009</v>
      </c>
      <c r="FP13" s="471">
        <f t="shared" si="45"/>
        <v>150.5</v>
      </c>
      <c r="FQ13" s="295">
        <f t="shared" si="20"/>
        <v>0.55507814424735158</v>
      </c>
      <c r="FR13" s="54">
        <f t="shared" si="21"/>
        <v>2.8866211888122537</v>
      </c>
      <c r="FS13">
        <f t="shared" si="22"/>
        <v>2.4449877750611249</v>
      </c>
    </row>
    <row r="14" spans="2:175" ht="170.25" customHeight="1">
      <c r="B14" s="29" t="s">
        <v>711</v>
      </c>
      <c r="C14" s="29" t="s">
        <v>223</v>
      </c>
      <c r="D14" s="29" t="s">
        <v>224</v>
      </c>
      <c r="E14" s="80">
        <v>7</v>
      </c>
      <c r="F14" s="123" t="str">
        <f t="shared" si="47"/>
        <v>×
[P・Q]
×・○</v>
      </c>
      <c r="G14" s="123" t="str">
        <f t="shared" si="1"/>
        <v>×
[P・Q]
×・○</v>
      </c>
      <c r="H14" s="123" t="str">
        <f t="shared" si="2"/>
        <v>×
[P・Q]
×・○</v>
      </c>
      <c r="I14" s="123" t="str">
        <f t="shared" si="3"/>
        <v>×
[P・Q]
○・×</v>
      </c>
      <c r="J14" s="123" t="str">
        <f t="shared" si="4"/>
        <v>○
[P・Q]
○・○</v>
      </c>
      <c r="K14" s="123" t="str">
        <f>IF($E14&lt;K$9,"",IF(AND(CW14&gt;0.6,CZ14&lt;=8,DA14=DB14),"○","×")&amp;CHAR(10)&amp;"[P・Q]"&amp;CHAR(10)&amp;IF(CW14="","--",IF(CW14&gt;0.6,"○","×"))&amp;IF(DA14="","・--",IF(DA14&lt;=8,"・○","・×")))</f>
        <v>○
[P・Q]
○・○</v>
      </c>
      <c r="L14" s="123" t="str">
        <f t="shared" si="5"/>
        <v>×
[P・Q]
○・×</v>
      </c>
      <c r="M14" s="123" t="str">
        <f t="shared" si="6"/>
        <v/>
      </c>
      <c r="N14" s="123" t="str">
        <f t="shared" si="7"/>
        <v/>
      </c>
      <c r="O14" s="123" t="str">
        <f t="shared" si="8"/>
        <v/>
      </c>
      <c r="P14" s="123" t="str">
        <f t="shared" si="9"/>
        <v/>
      </c>
      <c r="Q14" s="123" t="str">
        <f t="shared" si="10"/>
        <v/>
      </c>
      <c r="R14" s="511">
        <f t="shared" si="11"/>
        <v>1.1428571428571428</v>
      </c>
      <c r="S14" s="36">
        <v>5</v>
      </c>
      <c r="T14" s="36">
        <v>5</v>
      </c>
      <c r="U14" s="36">
        <v>5</v>
      </c>
      <c r="V14" s="80">
        <v>5</v>
      </c>
      <c r="W14" s="513">
        <f t="shared" si="12"/>
        <v>26.785714285714285</v>
      </c>
      <c r="X14" s="513">
        <f t="shared" si="13"/>
        <v>32.142857142857139</v>
      </c>
      <c r="Y14" s="513" cm="1">
        <f t="array" ref="Y14">_xlfn.IFS(R14&gt;=0.8,5,R14&gt;=0.6,3,R14&gt;=0.2,1,R14&lt;0.2,0)</f>
        <v>5</v>
      </c>
      <c r="Z14" s="512">
        <f t="shared" si="48"/>
        <v>83.928571428571416</v>
      </c>
      <c r="AA14" s="5" t="s">
        <v>712</v>
      </c>
      <c r="AB14" s="5" t="s">
        <v>690</v>
      </c>
      <c r="AC14" s="80" t="s">
        <v>226</v>
      </c>
      <c r="AD14" s="510" t="s">
        <v>713</v>
      </c>
      <c r="AE14" s="126" t="s">
        <v>174</v>
      </c>
      <c r="AF14" s="5" t="s">
        <v>714</v>
      </c>
      <c r="AG14" s="5"/>
      <c r="AH14" s="201">
        <f t="shared" si="23"/>
        <v>0.7027105621118267</v>
      </c>
      <c r="AI14" s="202">
        <f t="shared" si="24"/>
        <v>5.3719552715472254</v>
      </c>
      <c r="AJ14" s="80" t="str">
        <f t="shared" si="14"/>
        <v>HIGH</v>
      </c>
      <c r="AK14" s="80" t="str">
        <f t="shared" si="15"/>
        <v>HIGH</v>
      </c>
      <c r="AL14" s="215" t="s">
        <v>715</v>
      </c>
      <c r="AM14" s="214" t="s">
        <v>716</v>
      </c>
      <c r="AN14" s="126" t="str">
        <f>IF(AND(Z14&gt;Summary!$C$5, Z14&lt;=Summary!$D$5),Summary!$B$5,IF(AND(Z14&gt;Summary!$C$6, Z14&lt;=Summary!$D$6),Summary!$B$6,IF(AND(Z14&gt;Summary!$C$7, Z14&lt;=Summary!$D$7),Summary!$B$7,Summary!$B$8)))</f>
        <v>◎</v>
      </c>
      <c r="AO14" s="126" t="s">
        <v>168</v>
      </c>
      <c r="AP14" s="126"/>
      <c r="AQ14" s="126"/>
      <c r="AR14" s="126" t="s">
        <v>168</v>
      </c>
      <c r="AS14" s="126"/>
      <c r="AT14" s="29" t="s">
        <v>717</v>
      </c>
      <c r="AU14" s="80" t="str">
        <f>$AU$1&amp;" "&amp;VLOOKUP(B14,'[1]Productivity-MH'!$B:$C,2,FALSE)</f>
        <v>Hiroshima RJJ1S30G</v>
      </c>
      <c r="AV14" s="4" t="s">
        <v>168</v>
      </c>
      <c r="AW14" s="6">
        <f>IF(AV14="○",VLOOKUP(B14,'[1]Productivity-MH'!$B:$J,9,FALSE)," ")</f>
        <v>22.900000000000002</v>
      </c>
      <c r="AX14" s="6">
        <f>IF(AV14="○",VLOOKUP(B14,'[1]Productivity-MH'!$B:$H,7,FALSE)," ")</f>
        <v>68.5</v>
      </c>
      <c r="AY14" s="33">
        <f t="shared" si="16"/>
        <v>0.33430656934306574</v>
      </c>
      <c r="AZ14" s="42">
        <f>IF(AV14="○",VLOOKUP(B14,'[1]Productivity-MH'!$B:$K,10,FALSE)," ")</f>
        <v>1.8839999999999999</v>
      </c>
      <c r="BA14" s="3">
        <f>IF(AV14="○",VLOOKUP(B14,'[1]Productivity-MH'!$B:$L,11,FALSE)," ")</f>
        <v>5</v>
      </c>
      <c r="BB14" s="37">
        <f t="shared" si="17"/>
        <v>2.6539278131634823</v>
      </c>
      <c r="BC14" s="3">
        <v>5</v>
      </c>
      <c r="BD14" s="3">
        <v>5</v>
      </c>
      <c r="BE14" s="80" t="str">
        <f>$AU$1&amp;" "&amp;VLOOKUP(B14,'[1]Productivity-MH'!$B:$M,12,FALSE)</f>
        <v>Hiroshima RJJ1S31G</v>
      </c>
      <c r="BF14" s="4" t="s">
        <v>168</v>
      </c>
      <c r="BG14" s="6">
        <f>IF(BF14="○",VLOOKUP(B14,'[1]Productivity-MH'!$B:$T,19,FALSE),"")</f>
        <v>11.3</v>
      </c>
      <c r="BH14" s="6">
        <f>IF(BF14="○",VLOOKUP(B14,'[1]Productivity-MH'!$B:$R,17,FALSE),"")</f>
        <v>36.5</v>
      </c>
      <c r="BI14" s="33">
        <f t="shared" si="18"/>
        <v>0.30958904109589042</v>
      </c>
      <c r="BJ14" s="42">
        <f>IF(BF14="○",VLOOKUP(B14,'[1]Productivity-MH'!$B:$U,20,FALSE),"")</f>
        <v>0.94099999999999995</v>
      </c>
      <c r="BK14" s="3">
        <f>IF(BF14="○",VLOOKUP(B14,'[1]Productivity-MH'!$B:$V,21,FALSE),"")</f>
        <v>5</v>
      </c>
      <c r="BL14" s="37">
        <f t="shared" si="19"/>
        <v>5.313496280552604</v>
      </c>
      <c r="BM14" s="3">
        <v>5</v>
      </c>
      <c r="BN14" s="3">
        <v>5</v>
      </c>
      <c r="BO14" s="80" t="str">
        <f>$AU$1&amp;" "&amp;VLOOKUP(B14,'[1]Productivity-MH'!$B:$W,22,FALSE)</f>
        <v>Hiroshima N203090G</v>
      </c>
      <c r="BP14" s="4" t="s">
        <v>168</v>
      </c>
      <c r="BQ14" s="6">
        <f>IF(BP14="○",VLOOKUP(B14,'[1]Productivity-MH'!$B:$AD,29,FALSE),"")</f>
        <v>23</v>
      </c>
      <c r="BR14" s="6">
        <f>IF(BP14="○",VLOOKUP(B14,'[1]Productivity-MH'!$B:$AB,27,FALSE),"")</f>
        <v>41.5</v>
      </c>
      <c r="BS14" s="33">
        <f t="shared" si="25"/>
        <v>0.55421686746987953</v>
      </c>
      <c r="BT14" s="42">
        <f>IF(BP14="○",VLOOKUP(B14,'[1]Productivity-MH'!$B:$AE,30,FALSE),"")</f>
        <v>0.91700000000000004</v>
      </c>
      <c r="BU14" s="3">
        <f>IF(BP14="○",VLOOKUP(B14,'[1]Productivity-MH'!$B:$AF,31,FALSE),"")</f>
        <v>7</v>
      </c>
      <c r="BV14" s="37">
        <f t="shared" si="26"/>
        <v>7.6335877862595414</v>
      </c>
      <c r="BW14" s="3">
        <v>7</v>
      </c>
      <c r="BX14" s="3">
        <v>7</v>
      </c>
      <c r="BY14" s="80" t="str">
        <f>$AU$1&amp;" "&amp;VLOOKUP(B14,'[1]Productivity-MH'!$B:$AG,32,FALSE)</f>
        <v>Hiroshima N205110G</v>
      </c>
      <c r="BZ14" s="4" t="s">
        <v>168</v>
      </c>
      <c r="CA14" s="6">
        <f>IF(BZ14="○",VLOOKUP(B14,'[1]Productivity-MH'!$B:$AN,39,FALSE),"")</f>
        <v>10.5</v>
      </c>
      <c r="CB14" s="6">
        <f>IF(BZ14="○",VLOOKUP(B14,'[1]Productivity-MH'!$B:$AL,37,FALSE),"")</f>
        <v>17</v>
      </c>
      <c r="CC14" s="33">
        <f t="shared" si="27"/>
        <v>0.61764705882352944</v>
      </c>
      <c r="CD14" s="42">
        <f>IF(BZ14="○",VLOOKUP(B14,'[1]Productivity-MH'!$B:$AO,40,FALSE),"")</f>
        <v>0.26100000000000001</v>
      </c>
      <c r="CE14" s="3">
        <f>IF(BZ14="○",VLOOKUP(B14,'[1]Productivity-MH'!$B:$AP,41,FALSE),"")</f>
        <v>3</v>
      </c>
      <c r="CF14" s="37">
        <f t="shared" si="28"/>
        <v>11.494252873563218</v>
      </c>
      <c r="CG14" s="3"/>
      <c r="CH14" s="3"/>
      <c r="CI14" s="80" t="str">
        <f>$AU$1&amp;" "&amp;VLOOKUP(B14,'[1]Productivity-MH'!$B:$AQ,42,FALSE)</f>
        <v>Hiroshima N209510G</v>
      </c>
      <c r="CJ14" s="4" t="s">
        <v>168</v>
      </c>
      <c r="CK14" s="6">
        <f>IF(CJ14="○",VLOOKUP(B14,'[1]Productivity-MH'!$B:$AX,49,FALSE),"")</f>
        <v>17.900000000000002</v>
      </c>
      <c r="CL14" s="6">
        <f>IF(CJ14="○",VLOOKUP(B14,'[1]Productivity-MH'!$B:$AV,47,FALSE),"")</f>
        <v>29.5</v>
      </c>
      <c r="CM14" s="33">
        <f t="shared" si="29"/>
        <v>0.60677966101694925</v>
      </c>
      <c r="CN14" s="42">
        <f>IF(CJ14="○",VLOOKUP(B14,'[1]Productivity-MH'!$B:$AY,50,FALSE),"")</f>
        <v>0.84499999999999997</v>
      </c>
      <c r="CO14" s="3">
        <f>IF(CJ14="○",VLOOKUP(B14,'[1]Productivity-MH'!$B:$AZ,51,FALSE),"")</f>
        <v>2</v>
      </c>
      <c r="CP14" s="37">
        <f t="shared" si="30"/>
        <v>2.3668639053254439</v>
      </c>
      <c r="CQ14" s="3">
        <v>2</v>
      </c>
      <c r="CR14" s="3">
        <v>2</v>
      </c>
      <c r="CS14" s="80" t="str">
        <f>$AU$1&amp;" "&amp;VLOOKUP(B14,'[1]Productivity-MH'!$B:$BA,52,FALSE)</f>
        <v>Hiroshima N209530G</v>
      </c>
      <c r="CT14" s="4" t="s">
        <v>168</v>
      </c>
      <c r="CU14" s="6">
        <f>IF(CT14="○",VLOOKUP(B14,'[1]Productivity-MH'!$B:$BH,59,FALSE),"")</f>
        <v>22.8</v>
      </c>
      <c r="CV14" s="6">
        <f>IF(CT14="○",VLOOKUP(B14,'[1]Productivity-MH'!$B:$BF,57,FALSE),"")</f>
        <v>26</v>
      </c>
      <c r="CW14" s="33">
        <f t="shared" si="31"/>
        <v>0.87692307692307692</v>
      </c>
      <c r="CX14" s="42">
        <f>IF(CT14="○",VLOOKUP(B14,'[1]Productivity-MH'!$B:$BI,60,FALSE),"")</f>
        <v>0.59199999999999997</v>
      </c>
      <c r="CY14" s="3">
        <f>IF(CT14="○",VLOOKUP(B14,'[1]Productivity-MH'!$B:$BJ,61,FALSE),"")</f>
        <v>0</v>
      </c>
      <c r="CZ14" s="37">
        <f t="shared" si="32"/>
        <v>0</v>
      </c>
      <c r="DA14" s="3">
        <v>0</v>
      </c>
      <c r="DB14" s="3">
        <v>0</v>
      </c>
      <c r="DC14" s="36" t="str">
        <f>$AU$1&amp;" "&amp;VLOOKUP(B14,'[1]Productivity-MH'!$B:$BK,62,FALSE)</f>
        <v>Hiroshima RJ09010G</v>
      </c>
      <c r="DD14" s="4" t="s">
        <v>168</v>
      </c>
      <c r="DE14" s="6">
        <f>IF(DD14="○",VLOOKUP(B14,'[1]Productivity-MH'!$B:$BR,69,FALSE),"")</f>
        <v>15.4</v>
      </c>
      <c r="DF14" s="6">
        <f>IF(DD14="○",VLOOKUP(B14,'[1]Productivity-MH'!$B:$BP,67,FALSE),"")</f>
        <v>18</v>
      </c>
      <c r="DG14" s="33">
        <f t="shared" si="33"/>
        <v>0.85555555555555562</v>
      </c>
      <c r="DH14" s="42">
        <f>IF(DD14="○",VLOOKUP(B14,'[1]Productivity-MH'!$B:$BS,70,FALSE),"")</f>
        <v>0.14799999999999999</v>
      </c>
      <c r="DI14" s="3">
        <f>IF(DD14="○",VLOOKUP(B14,'[1]Productivity-MH'!$B:$BT,71,FALSE),"")</f>
        <v>2</v>
      </c>
      <c r="DJ14" s="37">
        <f t="shared" si="34"/>
        <v>13.513513513513514</v>
      </c>
      <c r="DK14" s="3">
        <v>2</v>
      </c>
      <c r="DL14" s="3">
        <v>2</v>
      </c>
      <c r="DM14" s="36" t="str">
        <f>VLOOKUP(B14,'[1]Productivity-MH'!$B:$BU,72,FALSE)</f>
        <v>N203P80G</v>
      </c>
      <c r="DN14" s="4" t="s">
        <v>168</v>
      </c>
      <c r="DO14" s="6">
        <f>IF(DN14="○",VLOOKUP(B14,'[1]Productivity-MH'!$B:$BR,69,FALSE),"")</f>
        <v>15.4</v>
      </c>
      <c r="DP14" s="6">
        <f>IF(DN14="○",VLOOKUP(B14,'[1]Productivity-MH'!$B:$BZ,77,FALSE),"")</f>
        <v>10.5</v>
      </c>
      <c r="DQ14" s="33">
        <f t="shared" si="35"/>
        <v>1.4666666666666668</v>
      </c>
      <c r="DR14" s="42">
        <f>IF(DN14="○",VLOOKUP(B14,'[1]Productivity-MH'!$B:$CC,80,FALSE),"")</f>
        <v>0.192</v>
      </c>
      <c r="DS14" s="3">
        <v>0</v>
      </c>
      <c r="DT14" s="37">
        <f t="shared" si="36"/>
        <v>0</v>
      </c>
      <c r="DU14" s="3">
        <v>0</v>
      </c>
      <c r="DV14" s="3">
        <v>0</v>
      </c>
      <c r="DW14" s="232"/>
      <c r="DX14" s="145"/>
      <c r="DY14" s="146"/>
      <c r="DZ14" s="146"/>
      <c r="EA14" s="147" t="str">
        <f t="shared" si="37"/>
        <v/>
      </c>
      <c r="EB14" s="148"/>
      <c r="EC14" s="149"/>
      <c r="ED14" s="148" t="str">
        <f t="shared" si="38"/>
        <v/>
      </c>
      <c r="EE14" s="149"/>
      <c r="EF14" s="149"/>
      <c r="EG14" s="232"/>
      <c r="EH14" s="145"/>
      <c r="EI14" s="146"/>
      <c r="EJ14" s="146"/>
      <c r="EK14" s="147" t="str">
        <f t="shared" si="39"/>
        <v/>
      </c>
      <c r="EL14" s="148"/>
      <c r="EM14" s="149"/>
      <c r="EN14" s="148" t="str">
        <f t="shared" si="40"/>
        <v/>
      </c>
      <c r="EO14" s="149"/>
      <c r="EP14" s="149"/>
      <c r="EQ14" s="232"/>
      <c r="ER14" s="145"/>
      <c r="ES14" s="146"/>
      <c r="ET14" s="146"/>
      <c r="EU14" s="147" t="str">
        <f t="shared" si="41"/>
        <v/>
      </c>
      <c r="EV14" s="148"/>
      <c r="EW14" s="149"/>
      <c r="EX14" s="148" t="str">
        <f t="shared" si="42"/>
        <v/>
      </c>
      <c r="EY14" s="149"/>
      <c r="EZ14" s="149"/>
      <c r="FA14" s="232"/>
      <c r="FB14" s="145"/>
      <c r="FC14" s="146"/>
      <c r="FD14" s="146"/>
      <c r="FE14" s="147" t="str">
        <f t="shared" si="43"/>
        <v/>
      </c>
      <c r="FF14" s="148"/>
      <c r="FG14" s="149"/>
      <c r="FH14" s="148" t="str">
        <f t="shared" si="44"/>
        <v/>
      </c>
      <c r="FI14" s="149"/>
      <c r="FJ14" s="149"/>
      <c r="FM14" s="54">
        <f t="shared" si="46"/>
        <v>5.7799999999999994</v>
      </c>
      <c r="FN14" s="54">
        <f t="shared" si="46"/>
        <v>24</v>
      </c>
      <c r="FO14" s="471">
        <f t="shared" si="45"/>
        <v>139.19999999999999</v>
      </c>
      <c r="FP14" s="471">
        <f t="shared" si="45"/>
        <v>247.5</v>
      </c>
      <c r="FQ14" s="295">
        <f t="shared" si="20"/>
        <v>0.7027105621118267</v>
      </c>
      <c r="FR14" s="54">
        <f t="shared" si="21"/>
        <v>5.3719552715472254</v>
      </c>
      <c r="FS14">
        <f t="shared" si="22"/>
        <v>4.1522491349480974</v>
      </c>
    </row>
    <row r="15" spans="2:175" ht="332.65" customHeight="1">
      <c r="B15" s="29" t="s">
        <v>718</v>
      </c>
      <c r="C15" s="5" t="s">
        <v>223</v>
      </c>
      <c r="D15" s="5" t="s">
        <v>224</v>
      </c>
      <c r="E15" s="80">
        <v>5</v>
      </c>
      <c r="F15" s="123" t="str">
        <f t="shared" si="47"/>
        <v>○
[P・Q]
○・○</v>
      </c>
      <c r="G15" s="123" t="str">
        <f t="shared" si="1"/>
        <v>×
[P・Q]
×・×</v>
      </c>
      <c r="H15" s="123" t="str">
        <f t="shared" si="2"/>
        <v>×
[P・Q]
--・--</v>
      </c>
      <c r="I15" s="123" t="str">
        <f t="shared" si="3"/>
        <v>×
[P・Q]
--・--</v>
      </c>
      <c r="J15" s="123" t="str">
        <f t="shared" si="4"/>
        <v>×
[P・Q]
--・--</v>
      </c>
      <c r="K15" s="131"/>
      <c r="L15" s="123" t="str">
        <f t="shared" si="5"/>
        <v/>
      </c>
      <c r="M15" s="123" t="str">
        <f t="shared" si="6"/>
        <v/>
      </c>
      <c r="N15" s="123" t="str">
        <f t="shared" si="7"/>
        <v/>
      </c>
      <c r="O15" s="123" t="str">
        <f t="shared" si="8"/>
        <v/>
      </c>
      <c r="P15" s="123" t="str">
        <f t="shared" si="9"/>
        <v/>
      </c>
      <c r="Q15" s="123" t="str">
        <f t="shared" si="10"/>
        <v/>
      </c>
      <c r="R15" s="511">
        <f t="shared" si="11"/>
        <v>0.4</v>
      </c>
      <c r="S15" s="80">
        <v>4</v>
      </c>
      <c r="T15" s="80">
        <v>4</v>
      </c>
      <c r="U15" s="80">
        <v>4</v>
      </c>
      <c r="V15" s="5">
        <v>3</v>
      </c>
      <c r="W15" s="123">
        <f t="shared" si="12"/>
        <v>7.5</v>
      </c>
      <c r="X15" s="123">
        <f t="shared" si="13"/>
        <v>7.5</v>
      </c>
      <c r="Y15" s="123" cm="1">
        <f t="array" ref="Y15">_xlfn.IFS(R15&gt;=0.8,5,R15&gt;=0.6,3,R15&gt;=0.2,1,R15&lt;0.2,0)</f>
        <v>1</v>
      </c>
      <c r="Z15" s="512">
        <f t="shared" si="48"/>
        <v>31</v>
      </c>
      <c r="AA15" s="5" t="s">
        <v>719</v>
      </c>
      <c r="AB15" s="5" t="s">
        <v>720</v>
      </c>
      <c r="AC15" s="126" t="s">
        <v>174</v>
      </c>
      <c r="AD15" s="5" t="s">
        <v>721</v>
      </c>
      <c r="AE15" s="5"/>
      <c r="AF15" s="5"/>
      <c r="AG15" s="5"/>
      <c r="AH15" s="201">
        <f>IFERROR(AVERAGE(AY15,BI15,BS15,CC15,CM15,CW15,DG15,DQ15,EA15,EK15)," ")</f>
        <v>0.53626086956521735</v>
      </c>
      <c r="AI15" s="202">
        <f>IFERROR(AVERAGE(BB15,BL15,BV15,CF15,CP15,CZ15,DJ15,DT15,ED15,EN15)," ")</f>
        <v>11.829440667698726</v>
      </c>
      <c r="AJ15" s="80" t="str">
        <f t="shared" si="14"/>
        <v>LOW</v>
      </c>
      <c r="AK15" s="80" t="str">
        <f t="shared" si="15"/>
        <v>LOW</v>
      </c>
      <c r="AL15" s="237" t="s">
        <v>722</v>
      </c>
      <c r="AM15" s="237" t="s">
        <v>723</v>
      </c>
      <c r="AN15" s="126" t="str">
        <f>IF(AND(Z15&gt;Summary!$C$5, Z15&lt;=Summary!$D$5),Summary!$B$5,IF(AND(Z15&gt;Summary!$C$6, Z15&lt;=Summary!$D$6),Summary!$B$6,IF(AND(Z15&gt;Summary!$C$7, Z15&lt;=Summary!$D$7),Summary!$B$7,Summary!$B$8)))</f>
        <v>△</v>
      </c>
      <c r="AO15" s="126" t="s">
        <v>174</v>
      </c>
      <c r="AP15" s="126"/>
      <c r="AQ15" s="126"/>
      <c r="AR15" s="126"/>
      <c r="AS15" s="126" t="s">
        <v>168</v>
      </c>
      <c r="AT15" s="408" t="s">
        <v>724</v>
      </c>
      <c r="AU15" s="80" t="str">
        <f>$AU$1&amp;" "&amp;VLOOKUP(B15,'[1]Productivity-MH'!$B:$C,2,FALSE)</f>
        <v>Hiroshima RJJ1280G</v>
      </c>
      <c r="AV15" s="4" t="s">
        <v>168</v>
      </c>
      <c r="AW15" s="6">
        <f>IF(AV15="○",VLOOKUP(B15,'[1]Productivity-MH'!$B:$J,9,FALSE)," ")</f>
        <v>15.4</v>
      </c>
      <c r="AX15" s="6">
        <f>IF(AV15="○",VLOOKUP(B15,'[1]Productivity-MH'!$B:$H,7,FALSE)," ")</f>
        <v>25</v>
      </c>
      <c r="AY15" s="33">
        <f t="shared" si="16"/>
        <v>0.61599999999999999</v>
      </c>
      <c r="AZ15" s="42">
        <f>IF(AV15="○",VLOOKUP(B15,'[1]Productivity-MH'!$B:$K,10,FALSE)," ")</f>
        <v>0.17899999999999999</v>
      </c>
      <c r="BA15" s="3">
        <f>IF(AV15="○",VLOOKUP(B15,'[1]Productivity-MH'!$B:$L,11,FALSE)," ")</f>
        <v>1</v>
      </c>
      <c r="BB15" s="37">
        <f t="shared" si="17"/>
        <v>5.5865921787709496</v>
      </c>
      <c r="BC15" s="3">
        <v>1</v>
      </c>
      <c r="BD15" s="3">
        <v>1</v>
      </c>
      <c r="BE15" s="80" t="str">
        <f>$AU$1&amp;" "&amp;VLOOKUP(B15,'[1]Productivity-MH'!$B:$M,12,FALSE)</f>
        <v>Hiroshima RJ067B0G</v>
      </c>
      <c r="BF15" s="4" t="s">
        <v>168</v>
      </c>
      <c r="BG15" s="6">
        <f>IF(BF15="○",VLOOKUP(B15,'[1]Productivity-MH'!$B:$T,19,FALSE),"")</f>
        <v>10.5</v>
      </c>
      <c r="BH15" s="6">
        <f>IF(BF15="○",VLOOKUP(B15,'[1]Productivity-MH'!$B:$R,17,FALSE),"")</f>
        <v>23</v>
      </c>
      <c r="BI15" s="33">
        <f t="shared" si="18"/>
        <v>0.45652173913043476</v>
      </c>
      <c r="BJ15" s="42">
        <f>IF(BF15="○",VLOOKUP(B15,'[1]Productivity-MH'!$B:$U,20,FALSE),"")</f>
        <v>0.16600000000000001</v>
      </c>
      <c r="BK15" s="3">
        <f>IF(BF15="○",VLOOKUP(B15,'[1]Productivity-MH'!$B:$V,21,FALSE),"")</f>
        <v>3</v>
      </c>
      <c r="BL15" s="37">
        <f t="shared" si="19"/>
        <v>18.072289156626503</v>
      </c>
      <c r="BM15" s="3">
        <v>3</v>
      </c>
      <c r="BN15" s="3">
        <v>3</v>
      </c>
      <c r="BO15" s="80" t="str">
        <f>$AU$1&amp;" "&amp;VLOOKUP(B15,'[1]Productivity-MH'!$B:$W,22,FALSE)</f>
        <v>Hiroshima N203080G</v>
      </c>
      <c r="BP15" s="4"/>
      <c r="BQ15" s="6" t="str">
        <f>IF(BP15="○",VLOOKUP(B15,'[1]Productivity-MH'!$B:$AD,29,FALSE),"")</f>
        <v/>
      </c>
      <c r="BR15" s="6" t="str">
        <f>IF(BP15="○",VLOOKUP(B15,'[1]Productivity-MH'!$B:$AB,27,FALSE),"")</f>
        <v/>
      </c>
      <c r="BS15" s="33" t="str">
        <f t="shared" si="25"/>
        <v/>
      </c>
      <c r="BT15" s="42" t="str">
        <f>IF(BP15="○",VLOOKUP(B15,'[1]Productivity-MH'!$B:$AE,30,FALSE),"")</f>
        <v/>
      </c>
      <c r="BU15" s="3" t="str">
        <f>IF(BP15="○",VLOOKUP(B15,'[1]Productivity-MH'!$B:$AF,31,FALSE),"")</f>
        <v/>
      </c>
      <c r="BV15" s="37" t="str">
        <f t="shared" si="26"/>
        <v/>
      </c>
      <c r="BW15" s="3"/>
      <c r="BX15" s="3"/>
      <c r="BY15" s="80" t="str">
        <f>$AU$1&amp;" "&amp;VLOOKUP(B15,'[1]Productivity-MH'!$B:$AG,32,FALSE)</f>
        <v>Hiroshima N205100G</v>
      </c>
      <c r="BZ15" s="4"/>
      <c r="CA15" s="6" t="str">
        <f>IF(BZ15="○",VLOOKUP(B15,'[1]Productivity-MH'!$B:$AN,39,FALSE),"")</f>
        <v/>
      </c>
      <c r="CB15" s="6" t="str">
        <f>IF(BZ15="○",VLOOKUP(B15,'[1]Productivity-MH'!$B:$AL,37,FALSE),"")</f>
        <v/>
      </c>
      <c r="CC15" s="33" t="str">
        <f t="shared" si="27"/>
        <v/>
      </c>
      <c r="CD15" s="42" t="str">
        <f>IF(BZ15="○",VLOOKUP(B15,'[1]Productivity-MH'!$B:$AO,40,FALSE),"")</f>
        <v/>
      </c>
      <c r="CE15" s="3" t="str">
        <f>IF(BZ15="○",VLOOKUP(B15,'[1]Productivity-MH'!$B:$AP,41,FALSE),"")</f>
        <v/>
      </c>
      <c r="CF15" s="37" t="str">
        <f t="shared" si="28"/>
        <v/>
      </c>
      <c r="CG15" s="3"/>
      <c r="CH15" s="3"/>
      <c r="CI15" s="80" t="str">
        <f>$AU$1&amp;" "&amp;VLOOKUP(B15,'[1]Productivity-MH'!$B:$AQ,42,FALSE)</f>
        <v>Hiroshima N209200G</v>
      </c>
      <c r="CJ15" s="4"/>
      <c r="CK15" s="6" t="str">
        <f>IF(CJ15="○",VLOOKUP(B15,'[1]Productivity-MH'!$B:$AX,49,FALSE),"")</f>
        <v/>
      </c>
      <c r="CL15" s="6" t="str">
        <f>IF(CJ15="○",VLOOKUP(B15,'[1]Productivity-MH'!$B:$AV,47,FALSE),"")</f>
        <v/>
      </c>
      <c r="CM15" s="33" t="str">
        <f t="shared" si="29"/>
        <v/>
      </c>
      <c r="CN15" s="42" t="str">
        <f>IF(CJ15="○",VLOOKUP(B15,'[1]Productivity-MH'!$B:$AY,50,FALSE),"")</f>
        <v/>
      </c>
      <c r="CO15" s="3" t="str">
        <f>IF(CJ15="○",VLOOKUP(B15,'[1]Productivity-MH'!$B:$AZ,51,FALSE),"")</f>
        <v/>
      </c>
      <c r="CP15" s="37" t="str">
        <f t="shared" si="30"/>
        <v/>
      </c>
      <c r="CQ15" s="3"/>
      <c r="CR15" s="3"/>
      <c r="CS15" s="232"/>
      <c r="CT15" s="145"/>
      <c r="CU15" s="146"/>
      <c r="CV15" s="146"/>
      <c r="CW15" s="147"/>
      <c r="CX15" s="148"/>
      <c r="CY15" s="149"/>
      <c r="CZ15" s="148"/>
      <c r="DA15" s="149"/>
      <c r="DB15" s="149"/>
      <c r="DC15" s="400"/>
      <c r="DD15" s="145"/>
      <c r="DE15" s="146"/>
      <c r="DF15" s="146"/>
      <c r="DG15" s="147"/>
      <c r="DH15" s="148"/>
      <c r="DI15" s="149"/>
      <c r="DJ15" s="148"/>
      <c r="DK15" s="149"/>
      <c r="DL15" s="149"/>
      <c r="DM15" s="400"/>
      <c r="DN15" s="145"/>
      <c r="DO15" s="146"/>
      <c r="DP15" s="146"/>
      <c r="DQ15" s="147"/>
      <c r="DR15" s="148"/>
      <c r="DS15" s="149"/>
      <c r="DT15" s="148"/>
      <c r="DU15" s="149"/>
      <c r="DV15" s="149"/>
      <c r="DW15" s="145"/>
      <c r="DX15" s="145"/>
      <c r="DY15" s="146"/>
      <c r="DZ15" s="146"/>
      <c r="EA15" s="147"/>
      <c r="EB15" s="148"/>
      <c r="EC15" s="149"/>
      <c r="ED15" s="148"/>
      <c r="EE15" s="149"/>
      <c r="EF15" s="149"/>
      <c r="EG15" s="145"/>
      <c r="EH15" s="145"/>
      <c r="EI15" s="146"/>
      <c r="EJ15" s="146"/>
      <c r="EK15" s="147"/>
      <c r="EL15" s="148"/>
      <c r="EM15" s="149"/>
      <c r="EN15" s="148"/>
      <c r="EO15" s="149"/>
      <c r="EP15" s="149"/>
      <c r="EQ15" s="145"/>
      <c r="ER15" s="145"/>
      <c r="ES15" s="146"/>
      <c r="ET15" s="146"/>
      <c r="EU15" s="147"/>
      <c r="EV15" s="148"/>
      <c r="EW15" s="149"/>
      <c r="EX15" s="148"/>
      <c r="EY15" s="149"/>
      <c r="EZ15" s="149"/>
      <c r="FA15" s="145"/>
      <c r="FB15" s="145"/>
      <c r="FC15" s="146"/>
      <c r="FD15" s="146"/>
      <c r="FE15" s="147"/>
      <c r="FF15" s="148"/>
      <c r="FG15" s="149"/>
      <c r="FH15" s="148"/>
      <c r="FI15" s="149"/>
      <c r="FJ15" s="149"/>
      <c r="FM15" s="54"/>
      <c r="FN15" s="54"/>
      <c r="FO15" s="471"/>
      <c r="FP15" s="471"/>
      <c r="FQ15" s="295">
        <f t="shared" si="20"/>
        <v>0.53626086956521735</v>
      </c>
      <c r="FR15" s="54">
        <f t="shared" si="21"/>
        <v>11.829440667698726</v>
      </c>
      <c r="FS15" t="e">
        <f t="shared" si="22"/>
        <v>#DIV/0!</v>
      </c>
    </row>
    <row r="16" spans="2:175" ht="270" customHeight="1">
      <c r="B16" s="5" t="s">
        <v>725</v>
      </c>
      <c r="C16" s="5" t="s">
        <v>300</v>
      </c>
      <c r="D16" s="5" t="s">
        <v>224</v>
      </c>
      <c r="E16" s="80">
        <v>9</v>
      </c>
      <c r="F16" s="123" t="str">
        <f t="shared" si="47"/>
        <v>×
[P・Q]
○・×</v>
      </c>
      <c r="G16" s="123" t="str">
        <f t="shared" si="1"/>
        <v>○
[P・Q]
○・○</v>
      </c>
      <c r="H16" s="123" t="str">
        <f t="shared" si="2"/>
        <v>○
[P・Q]
○・○</v>
      </c>
      <c r="I16" s="123" t="str">
        <f t="shared" si="3"/>
        <v>×
[P・Q]
○・×</v>
      </c>
      <c r="J16" s="123" t="str">
        <f t="shared" si="4"/>
        <v>×
[P・Q]
○・×</v>
      </c>
      <c r="K16" s="123" t="str">
        <f t="shared" ref="K16:K31" si="49">IF($E16&lt;K$9,"",IF(AND(CW16&gt;0.6,CZ16&lt;=8,DA16=DB16),"○","×")&amp;CHAR(10)&amp;"[P・Q]"&amp;CHAR(10)&amp;IF(CW16="","--",IF(CW16&gt;0.6,"○","×"))&amp;IF(DA16="","・--",IF(DA16&lt;=8,"・○","・×")))</f>
        <v>×
[P・Q]
○・○</v>
      </c>
      <c r="L16" s="123" t="str">
        <f t="shared" si="5"/>
        <v>○
[P・Q]
○・○</v>
      </c>
      <c r="M16" s="123" t="str">
        <f t="shared" si="6"/>
        <v>○
[P・Q]
○・○</v>
      </c>
      <c r="N16" s="123" t="str">
        <f t="shared" si="7"/>
        <v>○
[P・Q]
○・○</v>
      </c>
      <c r="O16" s="123" t="str">
        <f t="shared" si="8"/>
        <v/>
      </c>
      <c r="P16" s="123" t="str">
        <f t="shared" si="9"/>
        <v/>
      </c>
      <c r="Q16" s="123" t="str">
        <f t="shared" si="10"/>
        <v/>
      </c>
      <c r="R16" s="511">
        <f t="shared" si="11"/>
        <v>1</v>
      </c>
      <c r="S16" s="36">
        <v>5</v>
      </c>
      <c r="T16" s="36">
        <v>5</v>
      </c>
      <c r="U16" s="36">
        <v>5</v>
      </c>
      <c r="V16" s="80">
        <v>5</v>
      </c>
      <c r="W16" s="513">
        <f t="shared" si="12"/>
        <v>37.5</v>
      </c>
      <c r="X16" s="513">
        <f t="shared" si="13"/>
        <v>20.833333333333336</v>
      </c>
      <c r="Y16" s="513" cm="1">
        <f t="array" ref="Y16">_xlfn.IFS(R16&gt;=0.8,5,R16&gt;=0.6,3,R16&gt;=0.2,1,R16&lt;0.2,0)</f>
        <v>5</v>
      </c>
      <c r="Z16" s="512">
        <f t="shared" si="48"/>
        <v>83.333333333333343</v>
      </c>
      <c r="AA16" s="5" t="s">
        <v>726</v>
      </c>
      <c r="AB16" s="5" t="s">
        <v>727</v>
      </c>
      <c r="AC16" s="80" t="s">
        <v>226</v>
      </c>
      <c r="AD16" s="5" t="s">
        <v>728</v>
      </c>
      <c r="AE16" s="126" t="s">
        <v>174</v>
      </c>
      <c r="AF16" s="5" t="s">
        <v>729</v>
      </c>
      <c r="AG16" s="5"/>
      <c r="AH16" s="201">
        <f t="shared" si="23"/>
        <v>0.94210362052795404</v>
      </c>
      <c r="AI16" s="202">
        <f t="shared" si="24"/>
        <v>9.7583193941089981</v>
      </c>
      <c r="AJ16" s="80" t="str">
        <f t="shared" si="14"/>
        <v>HIGH</v>
      </c>
      <c r="AK16" s="80" t="str">
        <f t="shared" si="15"/>
        <v>LOW</v>
      </c>
      <c r="AL16" s="231" t="s">
        <v>730</v>
      </c>
      <c r="AM16" s="214" t="s">
        <v>731</v>
      </c>
      <c r="AN16" s="126" t="str">
        <f>IF(AND(Z16&gt;Summary!$C$5, Z16&lt;=Summary!$D$5),Summary!$B$5,IF(AND(Z16&gt;Summary!$C$6, Z16&lt;=Summary!$D$6),Summary!$B$6,IF(AND(Z16&gt;Summary!$C$7, Z16&lt;=Summary!$D$7),Summary!$B$7,Summary!$B$8)))</f>
        <v>◎</v>
      </c>
      <c r="AO16" s="126" t="s">
        <v>168</v>
      </c>
      <c r="AP16" s="126"/>
      <c r="AQ16" s="126"/>
      <c r="AR16" s="126" t="s">
        <v>168</v>
      </c>
      <c r="AS16" s="126"/>
      <c r="AT16" s="29" t="s">
        <v>598</v>
      </c>
      <c r="AU16" s="80" t="str">
        <f>$AU$1&amp;" "&amp;VLOOKUP(B16,'[1]Productivity-MH'!$B:$C,2,FALSE)</f>
        <v>Hiroshima RJ02380G</v>
      </c>
      <c r="AV16" s="4" t="s">
        <v>168</v>
      </c>
      <c r="AW16" s="6">
        <f>IF(AV16="○",VLOOKUP(B16,'[1]Productivity-MH'!$B:$J,9,FALSE)," ")</f>
        <v>10.4</v>
      </c>
      <c r="AX16" s="6">
        <f>IF(AV16="○",VLOOKUP(B16,'[1]Productivity-MH'!$B:$H,7,FALSE)," ")</f>
        <v>11.5</v>
      </c>
      <c r="AY16" s="33">
        <f t="shared" si="16"/>
        <v>0.90434782608695652</v>
      </c>
      <c r="AZ16" s="42">
        <f>IF(AV16="○",VLOOKUP(B16,'[1]Productivity-MH'!$B:$K,10,FALSE)," ")</f>
        <v>0.105</v>
      </c>
      <c r="BA16" s="3">
        <f>IF(AV16="○",VLOOKUP(B16,'[1]Productivity-MH'!$B:$L,11,FALSE)," ")</f>
        <v>1</v>
      </c>
      <c r="BB16" s="37">
        <f t="shared" si="17"/>
        <v>9.5238095238095237</v>
      </c>
      <c r="BC16" s="3">
        <v>5</v>
      </c>
      <c r="BD16" s="3">
        <v>5</v>
      </c>
      <c r="BE16" s="80" t="str">
        <f>$AU$1&amp;" "&amp;VLOOKUP(B16,'[1]Productivity-MH'!$B:$M,12,FALSE)</f>
        <v>Hiroshima RJ06H50G</v>
      </c>
      <c r="BF16" s="4" t="s">
        <v>168</v>
      </c>
      <c r="BG16" s="6">
        <f>IF(BF16="○",VLOOKUP(B16,'[1]Productivity-MH'!$B:$T,19,FALSE),"")</f>
        <v>10.5</v>
      </c>
      <c r="BH16" s="6">
        <f>IF(BF16="○",VLOOKUP(B16,'[1]Productivity-MH'!$B:$R,17,FALSE),"")</f>
        <v>13.5</v>
      </c>
      <c r="BI16" s="33">
        <f t="shared" si="18"/>
        <v>0.77777777777777779</v>
      </c>
      <c r="BJ16" s="42">
        <f>IF(BF16="○",VLOOKUP(B16,'[1]Productivity-MH'!$B:$U,20,FALSE),"")</f>
        <v>0.124</v>
      </c>
      <c r="BK16" s="3">
        <f>IF(BF16="○",VLOOKUP(B16,'[1]Productivity-MH'!$B:$V,21,FALSE),"")</f>
        <v>0</v>
      </c>
      <c r="BL16" s="37">
        <f t="shared" si="19"/>
        <v>0</v>
      </c>
      <c r="BM16" s="3">
        <v>0</v>
      </c>
      <c r="BN16" s="3">
        <v>0</v>
      </c>
      <c r="BO16" s="80" t="str">
        <f>$AU$1&amp;" "&amp;VLOOKUP(B16,'[1]Productivity-MH'!$B:$W,22,FALSE)</f>
        <v>Hiroshima N203890G</v>
      </c>
      <c r="BP16" s="4" t="s">
        <v>168</v>
      </c>
      <c r="BQ16" s="6">
        <f>IF(BP16="○",VLOOKUP(B16,'[1]Productivity-MH'!$B:$AD,29,FALSE),"")</f>
        <v>22.8</v>
      </c>
      <c r="BR16" s="6">
        <f>IF(BP16="○",VLOOKUP(B16,'[1]Productivity-MH'!$B:$AB,27,FALSE),"")</f>
        <v>18.5</v>
      </c>
      <c r="BS16" s="33">
        <f t="shared" si="25"/>
        <v>1.2324324324324325</v>
      </c>
      <c r="BT16" s="42">
        <f>IF(BP16="○",VLOOKUP(B16,'[1]Productivity-MH'!$B:$AE,30,FALSE),"")</f>
        <v>1.7150000000000001</v>
      </c>
      <c r="BU16" s="3">
        <f>IF(BP16="○",VLOOKUP(B16,'[1]Productivity-MH'!$B:$AF,31,FALSE),"")</f>
        <v>1</v>
      </c>
      <c r="BV16" s="37">
        <f t="shared" si="26"/>
        <v>0.58309037900874627</v>
      </c>
      <c r="BW16" s="3">
        <v>1</v>
      </c>
      <c r="BX16" s="3">
        <v>1</v>
      </c>
      <c r="BY16" s="80" t="str">
        <f>$AU$1&amp;" "&amp;VLOOKUP(B16,'[1]Productivity-MH'!$B:$AG,32,FALSE)</f>
        <v>Hiroshima N203891G</v>
      </c>
      <c r="BZ16" s="4" t="s">
        <v>168</v>
      </c>
      <c r="CA16" s="6">
        <f>IF(BZ16="○",VLOOKUP(B16,'[1]Productivity-MH'!$B:$AN,39,FALSE),"")</f>
        <v>15.6</v>
      </c>
      <c r="CB16" s="6">
        <f>IF(BZ16="○",VLOOKUP(B16,'[1]Productivity-MH'!$B:$AL,37,FALSE),"")</f>
        <v>15.5</v>
      </c>
      <c r="CC16" s="33">
        <f t="shared" si="27"/>
        <v>1.0064516129032257</v>
      </c>
      <c r="CD16" s="42">
        <f>IF(BZ16="○",VLOOKUP(B16,'[1]Productivity-MH'!$B:$AO,40,FALSE),"")</f>
        <v>0.55900000000000005</v>
      </c>
      <c r="CE16" s="3">
        <f>IF(BZ16="○",VLOOKUP(B16,'[1]Productivity-MH'!$B:$AP,41,FALSE),"")</f>
        <v>7</v>
      </c>
      <c r="CF16" s="37">
        <f t="shared" si="28"/>
        <v>12.522361359570661</v>
      </c>
      <c r="CG16" s="3">
        <v>7</v>
      </c>
      <c r="CH16" s="3">
        <v>7</v>
      </c>
      <c r="CI16" s="80" t="str">
        <f>$AU$1&amp;" "&amp;VLOOKUP(B16,'[1]Productivity-MH'!$B:$AQ,42,FALSE)</f>
        <v>Hiroshima N284640G</v>
      </c>
      <c r="CJ16" s="4" t="s">
        <v>168</v>
      </c>
      <c r="CK16" s="6">
        <f>IF(CJ16="○",VLOOKUP(B16,'[1]Productivity-MH'!$B:$AX,49,FALSE),"")</f>
        <v>15.4</v>
      </c>
      <c r="CL16" s="6">
        <f>IF(CJ16="○",VLOOKUP(B16,'[1]Productivity-MH'!$B:$AV,47,FALSE),"")</f>
        <v>14.5</v>
      </c>
      <c r="CM16" s="33">
        <f t="shared" si="29"/>
        <v>1.0620689655172415</v>
      </c>
      <c r="CN16" s="42">
        <f>IF(CJ16="○",VLOOKUP(B16,'[1]Productivity-MH'!$B:$AY,50,FALSE),"")</f>
        <v>0.215</v>
      </c>
      <c r="CO16" s="3">
        <f>IF(CJ16="○",VLOOKUP(B16,'[1]Productivity-MH'!$B:$AZ,51,FALSE),"")</f>
        <v>5</v>
      </c>
      <c r="CP16" s="37">
        <f t="shared" si="30"/>
        <v>23.255813953488371</v>
      </c>
      <c r="CQ16" s="3">
        <v>5</v>
      </c>
      <c r="CR16" s="3">
        <v>5</v>
      </c>
      <c r="CS16" s="80" t="str">
        <f>$AU$1&amp;" "&amp;VLOOKUP(B16,'[1]Productivity-MH'!$B:$BA,52,FALSE)</f>
        <v>Hiroshima N284660G</v>
      </c>
      <c r="CT16" s="4" t="s">
        <v>168</v>
      </c>
      <c r="CU16" s="6">
        <f>IF(CT16="○",VLOOKUP(B16,'[1]Productivity-MH'!$B:$BH,59,FALSE),"")</f>
        <v>15.4</v>
      </c>
      <c r="CV16" s="6">
        <f>IF(CT16="○",VLOOKUP(B16,'[1]Productivity-MH'!$B:$BF,57,FALSE),"")</f>
        <v>14.5</v>
      </c>
      <c r="CW16" s="33">
        <f t="shared" si="31"/>
        <v>1.0620689655172415</v>
      </c>
      <c r="CX16" s="42">
        <f>IF(CT16="○",VLOOKUP(B16,'[1]Productivity-MH'!$B:$BI,60,FALSE),"")</f>
        <v>0.13</v>
      </c>
      <c r="CY16" s="3">
        <f>IF(CT16="○",VLOOKUP(B16,'[1]Productivity-MH'!$B:$BJ,61,FALSE),"")</f>
        <v>5</v>
      </c>
      <c r="CZ16" s="37">
        <f t="shared" si="32"/>
        <v>38.46153846153846</v>
      </c>
      <c r="DA16" s="3">
        <v>5</v>
      </c>
      <c r="DB16" s="3">
        <v>5</v>
      </c>
      <c r="DC16" s="36" t="str">
        <f>$AU$1&amp;" "&amp;VLOOKUP(B16,'[1]Productivity-MH'!$B:$BK,62,FALSE)</f>
        <v>Hiroshima RJ09030G</v>
      </c>
      <c r="DD16" s="4" t="s">
        <v>168</v>
      </c>
      <c r="DE16" s="6">
        <f>IF(DD16="○",VLOOKUP(B16,'[1]Productivity-MH'!$B:$BR,69,FALSE),"")</f>
        <v>10.6</v>
      </c>
      <c r="DF16" s="6">
        <f>IF(DD16="○",VLOOKUP(B16,'[1]Productivity-MH'!$B:$BP,67,FALSE),"")</f>
        <v>13.5</v>
      </c>
      <c r="DG16" s="33">
        <f t="shared" si="33"/>
        <v>0.78518518518518521</v>
      </c>
      <c r="DH16" s="42">
        <f>IF(DD16="○",VLOOKUP(B16,'[1]Productivity-MH'!$B:$BS,70,FALSE),"")</f>
        <v>0.216</v>
      </c>
      <c r="DI16" s="3">
        <f>IF(DD16="○",VLOOKUP(B16,'[1]Productivity-MH'!$B:$BT,71,FALSE),"")</f>
        <v>0</v>
      </c>
      <c r="DJ16" s="37">
        <f t="shared" si="34"/>
        <v>0</v>
      </c>
      <c r="DK16" s="3">
        <v>0</v>
      </c>
      <c r="DL16" s="3">
        <v>0</v>
      </c>
      <c r="DM16" s="36" t="str">
        <f>VLOOKUP(B16,'[1]Productivity-MH'!$B:$BU,72,FALSE)</f>
        <v>N204670G</v>
      </c>
      <c r="DN16" s="4" t="s">
        <v>168</v>
      </c>
      <c r="DO16" s="6">
        <f>IF(DN16="○",VLOOKUP(B16,'[1]Productivity-MH'!$B:$BR,69,FALSE),"")</f>
        <v>10.6</v>
      </c>
      <c r="DP16" s="6">
        <f>IF(DN16="○",VLOOKUP(B16,'[1]Productivity-MH'!$B:$BZ,77,FALSE),"")</f>
        <v>13.5</v>
      </c>
      <c r="DQ16" s="33">
        <f t="shared" si="35"/>
        <v>0.78518518518518521</v>
      </c>
      <c r="DR16" s="42">
        <f>IF(DN16="○",VLOOKUP(B16,'[1]Productivity-MH'!$B:$CC,80,FALSE),"")</f>
        <v>0.23400000000000001</v>
      </c>
      <c r="DS16" s="3">
        <f>IF(DN16="○",VLOOKUP(B16,'[1]Productivity-MH'!$B:$CD,81,FALSE),"")</f>
        <v>0</v>
      </c>
      <c r="DT16" s="37">
        <f t="shared" si="36"/>
        <v>0</v>
      </c>
      <c r="DU16" s="3">
        <v>0</v>
      </c>
      <c r="DV16" s="3">
        <v>0</v>
      </c>
      <c r="DW16" s="4" t="s">
        <v>732</v>
      </c>
      <c r="DX16" s="4" t="s">
        <v>168</v>
      </c>
      <c r="DY16" s="6">
        <v>17.700000000000003</v>
      </c>
      <c r="DZ16" s="6">
        <v>20.5</v>
      </c>
      <c r="EA16" s="33">
        <v>0.86341463414634156</v>
      </c>
      <c r="EB16" s="42">
        <v>0.57499999999999996</v>
      </c>
      <c r="EC16" s="3">
        <v>2</v>
      </c>
      <c r="ED16" s="37">
        <f t="shared" ref="ED16:ED31" si="50">IF(EC16="","",EC16/EB16)</f>
        <v>3.4782608695652177</v>
      </c>
      <c r="EE16" s="3">
        <v>2</v>
      </c>
      <c r="EF16" s="3">
        <v>2</v>
      </c>
      <c r="EG16" s="391"/>
      <c r="EH16" s="391"/>
      <c r="EI16" s="392"/>
      <c r="EJ16" s="392"/>
      <c r="EK16" s="393"/>
      <c r="EL16" s="394"/>
      <c r="EM16" s="395"/>
      <c r="EN16" s="394"/>
      <c r="EO16" s="395"/>
      <c r="EP16" s="395"/>
      <c r="EQ16" s="391"/>
      <c r="ER16" s="391"/>
      <c r="ES16" s="392"/>
      <c r="ET16" s="392"/>
      <c r="EU16" s="393"/>
      <c r="EV16" s="394"/>
      <c r="EW16" s="395"/>
      <c r="EX16" s="394"/>
      <c r="EY16" s="395"/>
      <c r="EZ16" s="395"/>
      <c r="FA16" s="391"/>
      <c r="FB16" s="391"/>
      <c r="FC16" s="392"/>
      <c r="FD16" s="392"/>
      <c r="FE16" s="393"/>
      <c r="FF16" s="394"/>
      <c r="FG16" s="395"/>
      <c r="FH16" s="394"/>
      <c r="FI16" s="395"/>
      <c r="FJ16" s="395"/>
      <c r="FM16" s="54">
        <f t="shared" si="46"/>
        <v>3.8730000000000002</v>
      </c>
      <c r="FN16" s="54">
        <f t="shared" si="46"/>
        <v>21</v>
      </c>
      <c r="FO16" s="471">
        <f t="shared" si="45"/>
        <v>129</v>
      </c>
      <c r="FP16" s="471">
        <f t="shared" si="45"/>
        <v>135.5</v>
      </c>
      <c r="FQ16" s="295">
        <f t="shared" si="20"/>
        <v>0.94210362052795404</v>
      </c>
      <c r="FR16" s="54">
        <f t="shared" si="21"/>
        <v>9.7583193941089981</v>
      </c>
      <c r="FS16">
        <f t="shared" si="22"/>
        <v>5.4221533694810224</v>
      </c>
    </row>
    <row r="17" spans="2:175" ht="156.6" customHeight="1">
      <c r="B17" s="5" t="s">
        <v>733</v>
      </c>
      <c r="C17" s="5" t="s">
        <v>300</v>
      </c>
      <c r="D17" s="5" t="s">
        <v>224</v>
      </c>
      <c r="E17" s="80">
        <v>9</v>
      </c>
      <c r="F17" s="123" t="str">
        <f t="shared" si="47"/>
        <v>×
[P・Q]
×・○</v>
      </c>
      <c r="G17" s="123" t="str">
        <f t="shared" si="1"/>
        <v>○
[P・Q]
○・○</v>
      </c>
      <c r="H17" s="123" t="str">
        <f t="shared" si="2"/>
        <v>○
[P・Q]
○・○</v>
      </c>
      <c r="I17" s="123" t="str">
        <f t="shared" si="3"/>
        <v>○
[P・Q]
○・○</v>
      </c>
      <c r="J17" s="123" t="str">
        <f t="shared" si="4"/>
        <v>×
[P・Q]
○・×</v>
      </c>
      <c r="K17" s="123" t="str">
        <f t="shared" si="49"/>
        <v>×
[P・Q]
○・○</v>
      </c>
      <c r="L17" s="123" t="str">
        <f t="shared" si="5"/>
        <v>○
[P・Q]
○・○</v>
      </c>
      <c r="M17" s="123" t="str">
        <f t="shared" si="6"/>
        <v>×
[P・Q]
×・○</v>
      </c>
      <c r="N17" s="123" t="str">
        <f t="shared" si="7"/>
        <v>×
[P・Q]
--・--</v>
      </c>
      <c r="O17" s="123" t="str">
        <f t="shared" si="8"/>
        <v/>
      </c>
      <c r="P17" s="123" t="str">
        <f t="shared" si="9"/>
        <v/>
      </c>
      <c r="Q17" s="123" t="str">
        <f t="shared" si="10"/>
        <v/>
      </c>
      <c r="R17" s="511">
        <f t="shared" si="11"/>
        <v>0.88888888888888884</v>
      </c>
      <c r="S17" s="36">
        <v>5</v>
      </c>
      <c r="T17" s="36">
        <v>5</v>
      </c>
      <c r="U17" s="36">
        <v>5</v>
      </c>
      <c r="V17" s="80">
        <v>5</v>
      </c>
      <c r="W17" s="513">
        <f t="shared" si="12"/>
        <v>25</v>
      </c>
      <c r="X17" s="513">
        <f t="shared" si="13"/>
        <v>25</v>
      </c>
      <c r="Y17" s="513" cm="1">
        <f t="array" ref="Y17">_xlfn.IFS(R17&gt;=0.8,5,R17&gt;=0.6,3,R17&gt;=0.2,1,R17&lt;0.2,0)</f>
        <v>5</v>
      </c>
      <c r="Z17" s="512">
        <f t="shared" si="48"/>
        <v>75</v>
      </c>
      <c r="AA17" s="5" t="s">
        <v>734</v>
      </c>
      <c r="AB17" s="5" t="s">
        <v>727</v>
      </c>
      <c r="AC17" s="80" t="s">
        <v>251</v>
      </c>
      <c r="AD17" s="5" t="s">
        <v>735</v>
      </c>
      <c r="AE17" s="126" t="s">
        <v>174</v>
      </c>
      <c r="AF17" s="5" t="s">
        <v>736</v>
      </c>
      <c r="AG17" s="5"/>
      <c r="AH17" s="201">
        <f t="shared" si="23"/>
        <v>0.81307049901015516</v>
      </c>
      <c r="AI17" s="202">
        <f t="shared" si="24"/>
        <v>10.189541913263136</v>
      </c>
      <c r="AJ17" s="80" t="str">
        <f t="shared" si="14"/>
        <v>HIGH</v>
      </c>
      <c r="AK17" s="80" t="str">
        <f t="shared" si="15"/>
        <v>LOW</v>
      </c>
      <c r="AL17" s="231" t="s">
        <v>737</v>
      </c>
      <c r="AM17" s="217" t="s">
        <v>738</v>
      </c>
      <c r="AN17" s="126" t="str">
        <f>IF(AND(Z17&gt;Summary!$C$5, Z17&lt;=Summary!$D$5),Summary!$B$5,IF(AND(Z17&gt;Summary!$C$6, Z17&lt;=Summary!$D$6),Summary!$B$6,IF(AND(Z17&gt;Summary!$C$7, Z17&lt;=Summary!$D$7),Summary!$B$7,Summary!$B$8)))</f>
        <v>◎</v>
      </c>
      <c r="AO17" s="126" t="s">
        <v>168</v>
      </c>
      <c r="AP17" s="126"/>
      <c r="AQ17" s="126" t="s">
        <v>168</v>
      </c>
      <c r="AR17" s="126"/>
      <c r="AS17" s="126"/>
      <c r="AT17" s="29" t="s">
        <v>598</v>
      </c>
      <c r="AU17" s="80" t="str">
        <f>$AU$1&amp;" "&amp;VLOOKUP(B17,'[1]Productivity-MH'!$B:$C,2,FALSE)</f>
        <v>Hiroshima RJ02980G</v>
      </c>
      <c r="AV17" s="4" t="s">
        <v>168</v>
      </c>
      <c r="AW17" s="6">
        <f>IF(AV17="○",VLOOKUP(B17,'[1]Productivity-MH'!$B:$J,9,FALSE)," ")</f>
        <v>11.3</v>
      </c>
      <c r="AX17" s="6">
        <f>IF(AV17="○",VLOOKUP(B17,'[1]Productivity-MH'!$B:$H,7,FALSE)," ")</f>
        <v>31</v>
      </c>
      <c r="AY17" s="33">
        <f t="shared" si="16"/>
        <v>0.36451612903225811</v>
      </c>
      <c r="AZ17" s="42">
        <f>IF(AV17="○",VLOOKUP(B17,'[1]Productivity-MH'!$B:$K,10,FALSE)," ")</f>
        <v>1.171</v>
      </c>
      <c r="BA17" s="3">
        <f>IF(AV17="○",VLOOKUP(B17,'[1]Productivity-MH'!$B:$L,11,FALSE)," ")</f>
        <v>5</v>
      </c>
      <c r="BB17" s="37">
        <f t="shared" si="17"/>
        <v>4.269854824935952</v>
      </c>
      <c r="BC17" s="3">
        <v>5</v>
      </c>
      <c r="BD17" s="3">
        <v>5</v>
      </c>
      <c r="BE17" s="80" t="str">
        <f>$AU$1&amp;" "&amp;VLOOKUP(B17,'[1]Productivity-MH'!$B:$M,12,FALSE)</f>
        <v>Hiroshima RJ07130G</v>
      </c>
      <c r="BF17" s="4" t="s">
        <v>168</v>
      </c>
      <c r="BG17" s="6">
        <f>IF(BF17="○",VLOOKUP(B17,'[1]Productivity-MH'!$B:$T,19,FALSE),"")</f>
        <v>10.5</v>
      </c>
      <c r="BH17" s="6">
        <f>IF(BF17="○",VLOOKUP(B17,'[1]Productivity-MH'!$B:$R,17,FALSE),"")</f>
        <v>11</v>
      </c>
      <c r="BI17" s="33">
        <f t="shared" si="18"/>
        <v>0.95454545454545459</v>
      </c>
      <c r="BJ17" s="42">
        <f>IF(BF17="○",VLOOKUP(B17,'[1]Productivity-MH'!$B:$U,20,FALSE),"")</f>
        <v>0.14399999999999999</v>
      </c>
      <c r="BK17" s="3">
        <f>IF(BF17="○",VLOOKUP(B17,'[1]Productivity-MH'!$B:$V,21,FALSE),"")</f>
        <v>1</v>
      </c>
      <c r="BL17" s="37">
        <f t="shared" si="19"/>
        <v>6.9444444444444446</v>
      </c>
      <c r="BM17" s="3">
        <v>1</v>
      </c>
      <c r="BN17" s="3">
        <v>1</v>
      </c>
      <c r="BO17" s="80" t="str">
        <f>$AU$1&amp;" "&amp;VLOOKUP(B17,'[1]Productivity-MH'!$B:$W,22,FALSE)</f>
        <v>Hiroshima N205420G</v>
      </c>
      <c r="BP17" s="4" t="s">
        <v>168</v>
      </c>
      <c r="BQ17" s="6">
        <f>IF(BP17="○",VLOOKUP(B17,'[1]Productivity-MH'!$B:$AD,29,FALSE),"")</f>
        <v>25.8</v>
      </c>
      <c r="BR17" s="6">
        <f>IF(BP17="○",VLOOKUP(B17,'[1]Productivity-MH'!$B:$AB,27,FALSE),"")</f>
        <v>23.5</v>
      </c>
      <c r="BS17" s="33">
        <f t="shared" si="25"/>
        <v>1.0978723404255319</v>
      </c>
      <c r="BT17" s="42">
        <f>IF(BP17="○",VLOOKUP(B17,'[1]Productivity-MH'!$B:$AE,30,FALSE),"")</f>
        <v>0.49399999999999999</v>
      </c>
      <c r="BU17" s="3">
        <f>IF(BP17="○",VLOOKUP(B17,'[1]Productivity-MH'!$B:$AF,31,FALSE),"")</f>
        <v>0</v>
      </c>
      <c r="BV17" s="37">
        <f t="shared" si="26"/>
        <v>0</v>
      </c>
      <c r="BW17" s="3">
        <v>0</v>
      </c>
      <c r="BX17" s="3">
        <v>0</v>
      </c>
      <c r="BY17" s="80" t="str">
        <f>$AU$1&amp;" "&amp;VLOOKUP(B17,'[1]Productivity-MH'!$B:$AG,32,FALSE)</f>
        <v>Hiroshima N205420G</v>
      </c>
      <c r="BZ17" s="4" t="s">
        <v>168</v>
      </c>
      <c r="CA17" s="6">
        <f>IF(BZ17="○",VLOOKUP(B17,'[1]Productivity-MH'!$B:$AN,39,FALSE),"")</f>
        <v>25.8</v>
      </c>
      <c r="CB17" s="6">
        <f>IF(BZ17="○",VLOOKUP(B17,'[1]Productivity-MH'!$B:$AL,37,FALSE),"")</f>
        <v>23.5</v>
      </c>
      <c r="CC17" s="33">
        <f t="shared" si="27"/>
        <v>1.0978723404255319</v>
      </c>
      <c r="CD17" s="42">
        <f>IF(BZ17="○",VLOOKUP(B17,'[1]Productivity-MH'!$B:$AO,40,FALSE),"")</f>
        <v>0.49399999999999999</v>
      </c>
      <c r="CE17" s="3">
        <f>IF(BZ17="○",VLOOKUP(B17,'[1]Productivity-MH'!$B:$AP,41,FALSE),"")</f>
        <v>0</v>
      </c>
      <c r="CF17" s="37">
        <f t="shared" si="28"/>
        <v>0</v>
      </c>
      <c r="CG17" s="3">
        <v>0</v>
      </c>
      <c r="CH17" s="3">
        <v>0</v>
      </c>
      <c r="CI17" s="80" t="str">
        <f>$AU$1&amp;" "&amp;VLOOKUP(B17,'[1]Productivity-MH'!$B:$AQ,42,FALSE)</f>
        <v>Hiroshima N2J1080G</v>
      </c>
      <c r="CJ17" s="4" t="s">
        <v>168</v>
      </c>
      <c r="CK17" s="6">
        <f>IF(CJ17="○",VLOOKUP(B17,'[1]Productivity-MH'!$B:$AX,49,FALSE),"")</f>
        <v>10.5</v>
      </c>
      <c r="CL17" s="6">
        <f>IF(CJ17="○",VLOOKUP(B17,'[1]Productivity-MH'!$B:$AV,47,FALSE),"")</f>
        <v>13.5</v>
      </c>
      <c r="CM17" s="33">
        <f t="shared" si="29"/>
        <v>0.77777777777777779</v>
      </c>
      <c r="CN17" s="42">
        <f>IF(CJ17="○",VLOOKUP(B17,'[1]Productivity-MH'!$B:$AY,50,FALSE),"")</f>
        <v>0.109</v>
      </c>
      <c r="CO17" s="3">
        <f>IF(CJ17="○",VLOOKUP(B17,'[1]Productivity-MH'!$B:$AZ,51,FALSE),"")</f>
        <v>2</v>
      </c>
      <c r="CP17" s="37">
        <f t="shared" si="30"/>
        <v>18.348623853211009</v>
      </c>
      <c r="CQ17" s="3">
        <v>2</v>
      </c>
      <c r="CR17" s="3">
        <v>2</v>
      </c>
      <c r="CS17" s="80" t="str">
        <f>$AU$1&amp;" "&amp;VLOOKUP(B17,'[1]Productivity-MH'!$B:$BA,52,FALSE)</f>
        <v>Hiroshima N2J1090G</v>
      </c>
      <c r="CT17" s="4" t="s">
        <v>168</v>
      </c>
      <c r="CU17" s="6">
        <f>IF(CT17="○",VLOOKUP(B17,'[1]Productivity-MH'!$B:$BH,59,FALSE),"")</f>
        <v>10.4</v>
      </c>
      <c r="CV17" s="6">
        <f>IF(CT17="○",VLOOKUP(B17,'[1]Productivity-MH'!$B:$BF,57,FALSE),"")</f>
        <v>14</v>
      </c>
      <c r="CW17" s="33">
        <f t="shared" si="31"/>
        <v>0.74285714285714288</v>
      </c>
      <c r="CX17" s="42">
        <f>IF(CT17="○",VLOOKUP(B17,'[1]Productivity-MH'!$B:$BI,60,FALSE),"")</f>
        <v>4.1000000000000002E-2</v>
      </c>
      <c r="CY17" s="3">
        <f>IF(CT17="○",VLOOKUP(B17,'[1]Productivity-MH'!$B:$BJ,61,FALSE),"")</f>
        <v>2</v>
      </c>
      <c r="CZ17" s="37">
        <f t="shared" si="32"/>
        <v>48.780487804878049</v>
      </c>
      <c r="DA17" s="3">
        <v>2</v>
      </c>
      <c r="DB17" s="3">
        <v>2</v>
      </c>
      <c r="DC17" s="36" t="str">
        <f>$AU$1&amp;" "&amp;VLOOKUP(B17,'[1]Productivity-MH'!$B:$BK,62,FALSE)</f>
        <v>Hiroshima RJ12060G</v>
      </c>
      <c r="DD17" s="4" t="s">
        <v>168</v>
      </c>
      <c r="DE17" s="6">
        <f>IF(DD17="○",VLOOKUP(B17,'[1]Productivity-MH'!$B:$BR,69,FALSE),"")</f>
        <v>10.6</v>
      </c>
      <c r="DF17" s="6">
        <f>IF(DD17="○",VLOOKUP(B17,'[1]Productivity-MH'!$B:$BP,67,FALSE),"")</f>
        <v>9.5</v>
      </c>
      <c r="DG17" s="33">
        <f t="shared" si="33"/>
        <v>1.1157894736842104</v>
      </c>
      <c r="DH17" s="42">
        <f>IF(DD17="○",VLOOKUP(B17,'[1]Productivity-MH'!$B:$BS,70,FALSE),"")</f>
        <v>0.22700000000000001</v>
      </c>
      <c r="DI17" s="3">
        <f>IF(DD17="○",VLOOKUP(B17,'[1]Productivity-MH'!$B:$BT,71,FALSE),"")</f>
        <v>0</v>
      </c>
      <c r="DJ17" s="37">
        <f t="shared" si="34"/>
        <v>0</v>
      </c>
      <c r="DK17" s="3">
        <v>2</v>
      </c>
      <c r="DL17" s="3">
        <v>2</v>
      </c>
      <c r="DM17" s="36" t="str">
        <f>VLOOKUP(B17,'[1]Productivity-MH'!$B:$BU,72,FALSE)</f>
        <v>N203881G</v>
      </c>
      <c r="DN17" s="4" t="s">
        <v>168</v>
      </c>
      <c r="DO17" s="6">
        <f>IF(DN17="○",VLOOKUP(B17,'[1]Productivity-MH'!$B:$BR,69,FALSE),"")</f>
        <v>10.6</v>
      </c>
      <c r="DP17" s="6">
        <f>IF(DN17="○",VLOOKUP(B17,'[1]Productivity-MH'!$B:$BZ,77,FALSE),"")</f>
        <v>30</v>
      </c>
      <c r="DQ17" s="33">
        <f t="shared" si="35"/>
        <v>0.35333333333333333</v>
      </c>
      <c r="DR17" s="42">
        <f>IF(DN17="○",VLOOKUP(B17,'[1]Productivity-MH'!$B:$CC,80,FALSE),"")</f>
        <v>1.891</v>
      </c>
      <c r="DS17" s="3">
        <v>6</v>
      </c>
      <c r="DT17" s="37">
        <f t="shared" si="36"/>
        <v>3.1729243786356425</v>
      </c>
      <c r="DU17" s="3">
        <v>6</v>
      </c>
      <c r="DV17" s="3">
        <v>6</v>
      </c>
      <c r="DW17" s="391"/>
      <c r="DX17" s="391"/>
      <c r="DY17" s="392"/>
      <c r="DZ17" s="392"/>
      <c r="EA17" s="393"/>
      <c r="EB17" s="394"/>
      <c r="EC17" s="395"/>
      <c r="ED17" s="394"/>
      <c r="EE17" s="395"/>
      <c r="EF17" s="395"/>
      <c r="EG17" s="391"/>
      <c r="EH17" s="391"/>
      <c r="EI17" s="392"/>
      <c r="EJ17" s="392"/>
      <c r="EK17" s="393"/>
      <c r="EL17" s="394"/>
      <c r="EM17" s="395"/>
      <c r="EN17" s="394"/>
      <c r="EO17" s="395"/>
      <c r="EP17" s="395"/>
      <c r="EQ17" s="391"/>
      <c r="ER17" s="391"/>
      <c r="ES17" s="392"/>
      <c r="ET17" s="392"/>
      <c r="EU17" s="393"/>
      <c r="EV17" s="394"/>
      <c r="EW17" s="395"/>
      <c r="EX17" s="394"/>
      <c r="EY17" s="395"/>
      <c r="EZ17" s="395"/>
      <c r="FA17" s="391"/>
      <c r="FB17" s="391"/>
      <c r="FC17" s="392"/>
      <c r="FD17" s="392"/>
      <c r="FE17" s="393"/>
      <c r="FF17" s="394"/>
      <c r="FG17" s="395"/>
      <c r="FH17" s="394"/>
      <c r="FI17" s="395"/>
      <c r="FJ17" s="395"/>
      <c r="FM17" s="54">
        <f t="shared" si="46"/>
        <v>4.5709999999999997</v>
      </c>
      <c r="FN17" s="54">
        <f t="shared" si="46"/>
        <v>16</v>
      </c>
      <c r="FO17" s="471">
        <f t="shared" si="45"/>
        <v>115.5</v>
      </c>
      <c r="FP17" s="471">
        <f t="shared" si="45"/>
        <v>156</v>
      </c>
      <c r="FQ17" s="295">
        <f t="shared" si="20"/>
        <v>0.81307049901015516</v>
      </c>
      <c r="FR17" s="54">
        <f t="shared" si="21"/>
        <v>10.189541913263136</v>
      </c>
      <c r="FS17">
        <f t="shared" si="22"/>
        <v>3.5003281557646031</v>
      </c>
    </row>
    <row r="18" spans="2:175" ht="223.15" customHeight="1">
      <c r="B18" s="5" t="s">
        <v>739</v>
      </c>
      <c r="C18" s="5" t="s">
        <v>223</v>
      </c>
      <c r="D18" s="5" t="s">
        <v>224</v>
      </c>
      <c r="E18" s="80">
        <v>6</v>
      </c>
      <c r="F18" s="123" t="str">
        <f t="shared" si="47"/>
        <v>×
[P・Q]
×・×</v>
      </c>
      <c r="G18" s="123" t="str">
        <f t="shared" si="1"/>
        <v>×
[P・Q]
×・×</v>
      </c>
      <c r="H18" s="123" t="str">
        <f t="shared" si="2"/>
        <v>×
[P・Q]
○・×</v>
      </c>
      <c r="I18" s="123" t="str">
        <f t="shared" si="3"/>
        <v>×
[P・Q]
--・--</v>
      </c>
      <c r="J18" s="123" t="str">
        <f t="shared" si="4"/>
        <v>○
[P・Q]
○・○</v>
      </c>
      <c r="K18" s="123" t="str">
        <f t="shared" si="49"/>
        <v>×
[P・Q]
○・×</v>
      </c>
      <c r="L18" s="131"/>
      <c r="M18" s="123" t="str">
        <f t="shared" si="6"/>
        <v/>
      </c>
      <c r="N18" s="123" t="str">
        <f t="shared" si="7"/>
        <v/>
      </c>
      <c r="O18" s="123" t="str">
        <f t="shared" si="8"/>
        <v/>
      </c>
      <c r="P18" s="123" t="str">
        <f t="shared" si="9"/>
        <v/>
      </c>
      <c r="Q18" s="123" t="str">
        <f t="shared" si="10"/>
        <v/>
      </c>
      <c r="R18" s="511">
        <f t="shared" si="11"/>
        <v>0.83333333333333337</v>
      </c>
      <c r="S18" s="80">
        <v>5</v>
      </c>
      <c r="T18" s="80">
        <v>5</v>
      </c>
      <c r="U18" s="80">
        <v>5</v>
      </c>
      <c r="V18" s="80">
        <v>3</v>
      </c>
      <c r="W18" s="123">
        <f t="shared" si="12"/>
        <v>18.75</v>
      </c>
      <c r="X18" s="123">
        <f t="shared" si="13"/>
        <v>6.25</v>
      </c>
      <c r="Y18" s="123" cm="1">
        <f t="array" ref="Y18">_xlfn.IFS(R18&gt;=0.8,5,R18&gt;=0.6,3,R18&gt;=0.2,1,R18&lt;0.2,0)</f>
        <v>5</v>
      </c>
      <c r="Z18" s="512">
        <f t="shared" si="48"/>
        <v>48</v>
      </c>
      <c r="AA18" s="184" t="s">
        <v>740</v>
      </c>
      <c r="AB18" s="5" t="s">
        <v>741</v>
      </c>
      <c r="AC18" s="80" t="s">
        <v>226</v>
      </c>
      <c r="AD18" s="5" t="s">
        <v>742</v>
      </c>
      <c r="AE18" s="5"/>
      <c r="AF18" s="5"/>
      <c r="AG18" s="5"/>
      <c r="AH18" s="201">
        <f t="shared" si="23"/>
        <v>0.53883147853736091</v>
      </c>
      <c r="AI18" s="202">
        <f t="shared" si="24"/>
        <v>12.076601239402372</v>
      </c>
      <c r="AJ18" s="80" t="str">
        <f t="shared" si="14"/>
        <v>LOW</v>
      </c>
      <c r="AK18" s="80" t="str">
        <f t="shared" si="15"/>
        <v>LOW</v>
      </c>
      <c r="AL18" s="237" t="s">
        <v>743</v>
      </c>
      <c r="AM18" s="133" t="s">
        <v>744</v>
      </c>
      <c r="AN18" s="126" t="str">
        <f>IF(AND(Z18&gt;Summary!$C$5, Z18&lt;=Summary!$D$5),Summary!$B$5,IF(AND(Z18&gt;Summary!$C$6, Z18&lt;=Summary!$D$6),Summary!$B$6,IF(AND(Z18&gt;Summary!$C$7, Z18&lt;=Summary!$D$7),Summary!$B$7,Summary!$B$8)))</f>
        <v>△</v>
      </c>
      <c r="AO18" s="126" t="s">
        <v>174</v>
      </c>
      <c r="AP18" s="126"/>
      <c r="AQ18" s="126"/>
      <c r="AR18" s="126"/>
      <c r="AS18" s="126" t="s">
        <v>168</v>
      </c>
      <c r="AT18" s="99" t="s">
        <v>724</v>
      </c>
      <c r="AU18" s="80" t="str">
        <f>$AU$1&amp;" "&amp;VLOOKUP(B18,'[1]Productivity-MH'!$B:$C,2,FALSE)</f>
        <v>Hiroshima RJJ1S40G</v>
      </c>
      <c r="AV18" s="4" t="s">
        <v>168</v>
      </c>
      <c r="AW18" s="6">
        <f>IF(AV18="○",VLOOKUP(B18,'[1]Productivity-MH'!$B:$J,9,FALSE)," ")</f>
        <v>15.4</v>
      </c>
      <c r="AX18" s="6">
        <f>IF(AV18="○",VLOOKUP(B18,'[1]Productivity-MH'!$B:$H,7,FALSE)," ")</f>
        <v>37</v>
      </c>
      <c r="AY18" s="33">
        <f t="shared" si="16"/>
        <v>0.41621621621621624</v>
      </c>
      <c r="AZ18" s="398">
        <f>IF(AV18="○",VLOOKUP(B18,'[1]Productivity-MH'!$B:$K,10,FALSE)," ")</f>
        <v>0.14899999999999999</v>
      </c>
      <c r="BA18" s="3">
        <f>IF(AV18="○",VLOOKUP(B18,'[1]Productivity-MH'!$B:$L,11,FALSE)," ")</f>
        <v>4</v>
      </c>
      <c r="BB18" s="37">
        <f t="shared" si="17"/>
        <v>26.845637583892618</v>
      </c>
      <c r="BC18" s="3">
        <v>4</v>
      </c>
      <c r="BD18" s="3">
        <v>4</v>
      </c>
      <c r="BE18" s="80" t="str">
        <f>$AU$1&amp;" "&amp;VLOOKUP(B18,'[1]Productivity-MH'!$B:$M,12,FALSE)</f>
        <v>Hiroshima RJ06H10G</v>
      </c>
      <c r="BF18" s="4" t="s">
        <v>168</v>
      </c>
      <c r="BG18" s="6">
        <f>IF(BF18="○",VLOOKUP(B18,'[1]Productivity-MH'!$B:$T,19,FALSE),"")</f>
        <v>10.5</v>
      </c>
      <c r="BH18" s="6">
        <f>IF(BF18="○",VLOOKUP(B18,'[1]Productivity-MH'!$B:$R,17,FALSE),"")</f>
        <v>36</v>
      </c>
      <c r="BI18" s="33">
        <f t="shared" si="18"/>
        <v>0.29166666666666669</v>
      </c>
      <c r="BJ18" s="42">
        <f>IF(BF18="○",VLOOKUP(B18,'[1]Productivity-MH'!$B:$U,20,FALSE),"")</f>
        <v>0.123</v>
      </c>
      <c r="BK18" s="3">
        <f>IF(BF18="○",VLOOKUP(B18,'[1]Productivity-MH'!$B:$V,21,FALSE),"")</f>
        <v>1</v>
      </c>
      <c r="BL18" s="37">
        <f t="shared" si="19"/>
        <v>8.1300813008130088</v>
      </c>
      <c r="BM18" s="3">
        <v>1</v>
      </c>
      <c r="BN18" s="3">
        <v>1</v>
      </c>
      <c r="BO18" s="80" t="str">
        <f>$AU$1&amp;" "&amp;VLOOKUP(B18,'[1]Productivity-MH'!$B:$W,22,FALSE)</f>
        <v>Hiroshima N203110G</v>
      </c>
      <c r="BP18" s="4" t="s">
        <v>168</v>
      </c>
      <c r="BQ18" s="6">
        <f>IF(BP18="○",VLOOKUP(B18,'[1]Productivity-MH'!$B:$AD,29,FALSE),"")</f>
        <v>22.700000000000003</v>
      </c>
      <c r="BR18" s="6">
        <f>IF(BP18="○",VLOOKUP(B18,'[1]Productivity-MH'!$B:$AB,27,FALSE),"")</f>
        <v>34</v>
      </c>
      <c r="BS18" s="33">
        <f t="shared" si="25"/>
        <v>0.66764705882352948</v>
      </c>
      <c r="BT18" s="42">
        <f>IF(BP18="○",VLOOKUP(B18,'[1]Productivity-MH'!$B:$AE,30,FALSE),"")</f>
        <v>0.54900000000000004</v>
      </c>
      <c r="BU18" s="3">
        <f>IF(BP18="○",VLOOKUP(B18,'[1]Productivity-MH'!$B:$AF,31,FALSE),"")</f>
        <v>8</v>
      </c>
      <c r="BV18" s="37">
        <f t="shared" si="26"/>
        <v>14.571948998178506</v>
      </c>
      <c r="BW18" s="3">
        <v>8</v>
      </c>
      <c r="BX18" s="3">
        <v>8</v>
      </c>
      <c r="BY18" s="80" t="str">
        <f>$AU$1&amp;" "&amp;VLOOKUP(B18,'[1]Productivity-MH'!$B:$AG,32,FALSE)</f>
        <v>Hiroshima N203111G</v>
      </c>
      <c r="BZ18" s="4"/>
      <c r="CA18" s="6" t="str">
        <f>IF(BZ18="○",VLOOKUP(B18,'[1]Productivity-MH'!$B:$AN,39,FALSE),"")</f>
        <v/>
      </c>
      <c r="CB18" s="6" t="str">
        <f>IF(BZ18="○",VLOOKUP(B18,'[1]Productivity-MH'!$B:$AL,37,FALSE),"")</f>
        <v/>
      </c>
      <c r="CC18" s="33" t="str">
        <f t="shared" si="27"/>
        <v/>
      </c>
      <c r="CD18" s="42" t="str">
        <f>IF(BZ18="○",VLOOKUP(B18,'[1]Productivity-MH'!$B:$AO,40,FALSE),"")</f>
        <v/>
      </c>
      <c r="CE18" s="3" t="str">
        <f>IF(BZ18="○",VLOOKUP(B18,'[1]Productivity-MH'!$B:$AP,41,FALSE),"")</f>
        <v/>
      </c>
      <c r="CF18" s="37" t="str">
        <f t="shared" si="28"/>
        <v/>
      </c>
      <c r="CG18" s="3"/>
      <c r="CH18" s="3"/>
      <c r="CI18" s="80" t="str">
        <f>$AU$1&amp;" "&amp;VLOOKUP(B18,'[1]Productivity-MH'!$B:$AQ,42,FALSE)</f>
        <v>Hiroshima N209540G</v>
      </c>
      <c r="CJ18" s="4" t="s">
        <v>168</v>
      </c>
      <c r="CK18" s="6">
        <f>IF(CJ18="○",VLOOKUP(B18,'[1]Productivity-MH'!$B:$AX,49,FALSE),"")</f>
        <v>22.8</v>
      </c>
      <c r="CL18" s="6">
        <v>36</v>
      </c>
      <c r="CM18" s="33">
        <f t="shared" si="29"/>
        <v>0.6333333333333333</v>
      </c>
      <c r="CN18" s="42">
        <v>2.12</v>
      </c>
      <c r="CO18" s="3">
        <v>4</v>
      </c>
      <c r="CP18" s="37">
        <f t="shared" si="30"/>
        <v>1.8867924528301885</v>
      </c>
      <c r="CQ18" s="3">
        <v>4</v>
      </c>
      <c r="CR18" s="3">
        <v>4</v>
      </c>
      <c r="CS18" s="80" t="str">
        <f>$AU$1&amp;" "&amp;VLOOKUP(B18,'[1]Productivity-MH'!$B:$BA,52,FALSE)</f>
        <v>Hiroshima N212060G</v>
      </c>
      <c r="CT18" s="4" t="s">
        <v>168</v>
      </c>
      <c r="CU18" s="6">
        <f>IF(CT18="○",VLOOKUP(B18,'[1]Productivity-MH'!$B:$BH,59,FALSE),"")</f>
        <v>23.3</v>
      </c>
      <c r="CV18" s="6">
        <f>IF(CT18="○",VLOOKUP(B18,'[1]Productivity-MH'!$B:$BF,57,FALSE),"")</f>
        <v>34</v>
      </c>
      <c r="CW18" s="33">
        <f t="shared" si="31"/>
        <v>0.68529411764705883</v>
      </c>
      <c r="CX18" s="42">
        <v>1.788</v>
      </c>
      <c r="CY18" s="3">
        <v>16</v>
      </c>
      <c r="CZ18" s="37">
        <f t="shared" si="32"/>
        <v>8.9485458612975393</v>
      </c>
      <c r="DA18" s="3">
        <v>16</v>
      </c>
      <c r="DB18" s="3">
        <v>26</v>
      </c>
      <c r="DC18" s="400"/>
      <c r="DD18" s="145"/>
      <c r="DE18" s="146"/>
      <c r="DF18" s="146"/>
      <c r="DG18" s="147"/>
      <c r="DH18" s="148"/>
      <c r="DI18" s="149"/>
      <c r="DJ18" s="148"/>
      <c r="DK18" s="149"/>
      <c r="DL18" s="149"/>
      <c r="DM18" s="400"/>
      <c r="DN18" s="145"/>
      <c r="DO18" s="146"/>
      <c r="DP18" s="146"/>
      <c r="DQ18" s="147"/>
      <c r="DR18" s="148"/>
      <c r="DS18" s="149"/>
      <c r="DT18" s="148"/>
      <c r="DU18" s="149"/>
      <c r="DV18" s="149"/>
      <c r="DW18" s="145"/>
      <c r="DX18" s="145"/>
      <c r="DY18" s="146"/>
      <c r="DZ18" s="146"/>
      <c r="EA18" s="147"/>
      <c r="EB18" s="148"/>
      <c r="EC18" s="149"/>
      <c r="ED18" s="148"/>
      <c r="EE18" s="149"/>
      <c r="EF18" s="149"/>
      <c r="EG18" s="145"/>
      <c r="EH18" s="145"/>
      <c r="EI18" s="146"/>
      <c r="EJ18" s="146"/>
      <c r="EK18" s="147"/>
      <c r="EL18" s="148"/>
      <c r="EM18" s="149"/>
      <c r="EN18" s="148"/>
      <c r="EO18" s="149"/>
      <c r="EP18" s="395"/>
      <c r="EQ18" s="391"/>
      <c r="ER18" s="391"/>
      <c r="ES18" s="392"/>
      <c r="ET18" s="392"/>
      <c r="EU18" s="393"/>
      <c r="EV18" s="394"/>
      <c r="EW18" s="395"/>
      <c r="EX18" s="394"/>
      <c r="EY18" s="395"/>
      <c r="EZ18" s="395"/>
      <c r="FA18" s="391"/>
      <c r="FB18" s="391"/>
      <c r="FC18" s="392"/>
      <c r="FD18" s="392"/>
      <c r="FE18" s="393"/>
      <c r="FF18" s="394"/>
      <c r="FG18" s="395"/>
      <c r="FH18" s="394"/>
      <c r="FI18" s="395"/>
      <c r="FJ18" s="395"/>
      <c r="FM18" s="54">
        <f t="shared" si="46"/>
        <v>4.729000000000001</v>
      </c>
      <c r="FN18" s="54">
        <f t="shared" si="46"/>
        <v>33</v>
      </c>
      <c r="FO18" s="471">
        <f t="shared" si="45"/>
        <v>94.700000000000017</v>
      </c>
      <c r="FP18" s="471">
        <f t="shared" si="45"/>
        <v>177</v>
      </c>
      <c r="FQ18" s="295">
        <f t="shared" si="20"/>
        <v>0.53883147853736091</v>
      </c>
      <c r="FR18" s="54">
        <f t="shared" si="21"/>
        <v>12.076601239402372</v>
      </c>
      <c r="FS18">
        <f t="shared" si="22"/>
        <v>6.9782194967223496</v>
      </c>
    </row>
    <row r="19" spans="2:175" ht="140.85" customHeight="1">
      <c r="B19" s="5" t="s">
        <v>745</v>
      </c>
      <c r="C19" s="5" t="s">
        <v>223</v>
      </c>
      <c r="D19" s="5" t="s">
        <v>224</v>
      </c>
      <c r="E19" s="80">
        <v>7</v>
      </c>
      <c r="F19" s="123" t="str">
        <f t="shared" si="47"/>
        <v>○
[P・Q]
○・○</v>
      </c>
      <c r="G19" s="123" t="str">
        <f t="shared" si="1"/>
        <v>○
[P・Q]
○・○</v>
      </c>
      <c r="H19" s="123" t="str">
        <f t="shared" si="2"/>
        <v>○
[P・Q]
○・○</v>
      </c>
      <c r="I19" s="123" t="str">
        <f t="shared" si="3"/>
        <v>○
[P・Q]
○・○</v>
      </c>
      <c r="J19" s="123" t="str">
        <f t="shared" si="4"/>
        <v>×
[P・Q]
○・×</v>
      </c>
      <c r="K19" s="123" t="str">
        <f t="shared" si="49"/>
        <v>×
[P・Q]
○・○</v>
      </c>
      <c r="L19" s="123" t="str">
        <f>IF($E19&lt;L$9,"",IF(AND(DG19&gt;0.6,DJ19&lt;=8,DK19=DL19),"○","×")&amp;CHAR(10)&amp;"[P・Q]"&amp;CHAR(10)&amp;IF(DG19="","--",IF(DG19&gt;0.6,"○","×"))&amp;IF(DJ19="","・--",IF(DJ19&lt;=8,"・○","・×")))</f>
        <v>×
[P・Q]
○・×</v>
      </c>
      <c r="M19" s="123" t="str">
        <f t="shared" si="6"/>
        <v/>
      </c>
      <c r="N19" s="123" t="str">
        <f t="shared" si="7"/>
        <v/>
      </c>
      <c r="O19" s="123" t="str">
        <f t="shared" si="8"/>
        <v/>
      </c>
      <c r="P19" s="123" t="str">
        <f t="shared" si="9"/>
        <v/>
      </c>
      <c r="Q19" s="123" t="str">
        <f t="shared" si="10"/>
        <v/>
      </c>
      <c r="R19" s="511">
        <f t="shared" si="11"/>
        <v>1</v>
      </c>
      <c r="S19" s="36">
        <v>5</v>
      </c>
      <c r="T19" s="36">
        <v>5</v>
      </c>
      <c r="U19" s="36">
        <v>5</v>
      </c>
      <c r="V19" s="80">
        <v>5</v>
      </c>
      <c r="W19" s="513">
        <f t="shared" si="12"/>
        <v>37.5</v>
      </c>
      <c r="X19" s="513">
        <f t="shared" si="13"/>
        <v>21.428571428571427</v>
      </c>
      <c r="Y19" s="513" cm="1">
        <f t="array" ref="Y19">_xlfn.IFS(R19&gt;=0.8,5,R19&gt;=0.6,3,R19&gt;=0.2,1,R19&lt;0.2,0)</f>
        <v>5</v>
      </c>
      <c r="Z19" s="512">
        <f t="shared" si="48"/>
        <v>83.928571428571431</v>
      </c>
      <c r="AA19" s="5" t="s">
        <v>746</v>
      </c>
      <c r="AB19" s="5" t="s">
        <v>747</v>
      </c>
      <c r="AC19" s="80" t="s">
        <v>226</v>
      </c>
      <c r="AD19" s="5" t="s">
        <v>748</v>
      </c>
      <c r="AE19" s="126" t="s">
        <v>174</v>
      </c>
      <c r="AF19" s="5" t="s">
        <v>749</v>
      </c>
      <c r="AG19" s="5"/>
      <c r="AH19" s="201">
        <f t="shared" si="23"/>
        <v>1.1192900208467547</v>
      </c>
      <c r="AI19" s="202">
        <f t="shared" si="24"/>
        <v>6.2021247613142281</v>
      </c>
      <c r="AJ19" s="80" t="str">
        <f t="shared" si="14"/>
        <v>HIGH</v>
      </c>
      <c r="AK19" s="80" t="str">
        <f t="shared" si="15"/>
        <v>HIGH</v>
      </c>
      <c r="AL19" s="5" t="s">
        <v>750</v>
      </c>
      <c r="AM19" s="5" t="s">
        <v>230</v>
      </c>
      <c r="AN19" s="126" t="str">
        <f>IF(AND(Z19&gt;Summary!$C$5, Z19&lt;=Summary!$D$5),Summary!$B$5,IF(AND(Z19&gt;Summary!$C$6, Z19&lt;=Summary!$D$6),Summary!$B$6,IF(AND(Z19&gt;Summary!$C$7, Z19&lt;=Summary!$D$7),Summary!$B$7,Summary!$B$8)))</f>
        <v>◎</v>
      </c>
      <c r="AO19" s="126" t="s">
        <v>168</v>
      </c>
      <c r="AP19" s="126"/>
      <c r="AQ19" s="126"/>
      <c r="AR19" s="126" t="s">
        <v>168</v>
      </c>
      <c r="AS19" s="126"/>
      <c r="AT19" s="29" t="s">
        <v>598</v>
      </c>
      <c r="AU19" s="80" t="str">
        <f>$AU$1&amp;" "&amp;VLOOKUP(B19,'[1]Productivity-MH'!$B:$C,2,FALSE)</f>
        <v>Hiroshima N203C60G</v>
      </c>
      <c r="AV19" s="4" t="s">
        <v>168</v>
      </c>
      <c r="AW19" s="6">
        <f>IF(AV19="○",VLOOKUP(B19,'[1]Productivity-MH'!$B:$J,9,FALSE)," ")</f>
        <v>22.700000000000003</v>
      </c>
      <c r="AX19" s="6">
        <f>IF(AV19="○",VLOOKUP(B19,'[1]Productivity-MH'!$B:$H,7,FALSE)," ")</f>
        <v>20.5</v>
      </c>
      <c r="AY19" s="33">
        <f t="shared" si="16"/>
        <v>1.1073170731707318</v>
      </c>
      <c r="AZ19" s="42">
        <f>IF(AV19="○",VLOOKUP(B19,'[1]Productivity-MH'!$B:$K,10,FALSE)," ")</f>
        <v>0.75800000000000001</v>
      </c>
      <c r="BA19" s="3">
        <f>IF(AV19="○",VLOOKUP(B19,'[1]Productivity-MH'!$B:$L,11,FALSE)," ")</f>
        <v>2</v>
      </c>
      <c r="BB19" s="37">
        <f t="shared" si="17"/>
        <v>2.6385224274406331</v>
      </c>
      <c r="BC19" s="3">
        <v>2</v>
      </c>
      <c r="BD19" s="3">
        <v>2</v>
      </c>
      <c r="BE19" s="80" t="str">
        <f>$AU$1&amp;" "&amp;VLOOKUP(B19,'[1]Productivity-MH'!$B:$M,12,FALSE)</f>
        <v>Hiroshima N203C61G</v>
      </c>
      <c r="BF19" s="4" t="s">
        <v>168</v>
      </c>
      <c r="BG19" s="6">
        <f>IF(BF19="○",VLOOKUP(B19,'[1]Productivity-MH'!$B:$T,19,FALSE),"")</f>
        <v>16.100000000000001</v>
      </c>
      <c r="BH19" s="6">
        <f>IF(BF19="○",VLOOKUP(B19,'[1]Productivity-MH'!$B:$R,17,FALSE),"")</f>
        <v>17.5</v>
      </c>
      <c r="BI19" s="33">
        <f t="shared" si="18"/>
        <v>0.92</v>
      </c>
      <c r="BJ19" s="42">
        <f>IF(BF19="○",VLOOKUP(B19,'[1]Productivity-MH'!$B:$U,20,FALSE),"")</f>
        <v>1.014</v>
      </c>
      <c r="BK19" s="3">
        <f>IF(BF19="○",VLOOKUP(B19,'[1]Productivity-MH'!$B:$V,21,FALSE),"")</f>
        <v>4</v>
      </c>
      <c r="BL19" s="37">
        <f t="shared" si="19"/>
        <v>3.9447731755424065</v>
      </c>
      <c r="BM19" s="3">
        <v>4</v>
      </c>
      <c r="BN19" s="3">
        <v>4</v>
      </c>
      <c r="BO19" s="80" t="str">
        <f>$AU$1&amp;" "&amp;VLOOKUP(B19,'[1]Productivity-MH'!$B:$W,22,FALSE)</f>
        <v>Hiroshima N203C62G</v>
      </c>
      <c r="BP19" s="4" t="s">
        <v>168</v>
      </c>
      <c r="BQ19" s="6">
        <f>IF(BP19="○",VLOOKUP(B19,'[1]Productivity-MH'!$B:$AD,29,FALSE),"")</f>
        <v>22.8</v>
      </c>
      <c r="BR19" s="6">
        <f>IF(BP19="○",VLOOKUP(B19,'[1]Productivity-MH'!$B:$AB,27,FALSE),"")</f>
        <v>22</v>
      </c>
      <c r="BS19" s="33">
        <f t="shared" si="25"/>
        <v>1.0363636363636364</v>
      </c>
      <c r="BT19" s="42">
        <f>IF(BP19="○",VLOOKUP(B19,'[1]Productivity-MH'!$B:$AE,30,FALSE),"")</f>
        <v>1.8029999999999999</v>
      </c>
      <c r="BU19" s="3">
        <f>IF(BP19="○",VLOOKUP(B19,'[1]Productivity-MH'!$B:$AF,31,FALSE),"")</f>
        <v>1</v>
      </c>
      <c r="BV19" s="37">
        <f t="shared" si="26"/>
        <v>0.55463117027176934</v>
      </c>
      <c r="BW19" s="3">
        <v>1</v>
      </c>
      <c r="BX19" s="3">
        <v>1</v>
      </c>
      <c r="BY19" s="80" t="str">
        <f>$AU$1&amp;" "&amp;VLOOKUP(B19,'[1]Productivity-MH'!$B:$AG,32,FALSE)</f>
        <v>Hiroshima N203C63G</v>
      </c>
      <c r="BZ19" s="4" t="s">
        <v>168</v>
      </c>
      <c r="CA19" s="6">
        <f>IF(BZ19="○",VLOOKUP(B19,'[1]Productivity-MH'!$B:$AN,39,FALSE),"")</f>
        <v>22.8</v>
      </c>
      <c r="CB19" s="6">
        <f>IF(BZ19="○",VLOOKUP(B19,'[1]Productivity-MH'!$B:$AL,37,FALSE),"")</f>
        <v>11.5</v>
      </c>
      <c r="CC19" s="33">
        <f t="shared" si="27"/>
        <v>1.982608695652174</v>
      </c>
      <c r="CD19" s="42">
        <f>IF(BZ19="○",VLOOKUP(B19,'[1]Productivity-MH'!$B:$AO,40,FALSE),"")</f>
        <v>1.7330000000000001</v>
      </c>
      <c r="CE19" s="3">
        <f>IF(BZ19="○",VLOOKUP(B19,'[1]Productivity-MH'!$B:$AP,41,FALSE),"")</f>
        <v>1</v>
      </c>
      <c r="CF19" s="37">
        <f t="shared" si="28"/>
        <v>0.57703404500865552</v>
      </c>
      <c r="CG19" s="3"/>
      <c r="CH19" s="3"/>
      <c r="CI19" s="80" t="str">
        <f>$AU$1&amp;" "&amp;VLOOKUP(B19,'[1]Productivity-MH'!$B:$AQ,42,FALSE)</f>
        <v>Hiroshima RJ03140G</v>
      </c>
      <c r="CJ19" s="4" t="s">
        <v>168</v>
      </c>
      <c r="CK19" s="6">
        <f>IF(CJ19="○",VLOOKUP(B19,'[1]Productivity-MH'!$B:$AX,49,FALSE),"")</f>
        <v>10.6</v>
      </c>
      <c r="CL19" s="6">
        <f>IF(CJ19="○",VLOOKUP(B19,'[1]Productivity-MH'!$B:$AV,47,FALSE),"")</f>
        <v>13.5</v>
      </c>
      <c r="CM19" s="33">
        <f t="shared" si="29"/>
        <v>0.78518518518518521</v>
      </c>
      <c r="CN19" s="42">
        <f>IF(CJ19="○",VLOOKUP(B19,'[1]Productivity-MH'!$B:$AY,50,FALSE),"")</f>
        <v>0.254</v>
      </c>
      <c r="CO19" s="3">
        <f>IF(CJ19="○",VLOOKUP(B19,'[1]Productivity-MH'!$B:$AZ,51,FALSE),"")</f>
        <v>3</v>
      </c>
      <c r="CP19" s="37">
        <f t="shared" si="30"/>
        <v>11.811023622047244</v>
      </c>
      <c r="CQ19" s="3">
        <v>3</v>
      </c>
      <c r="CR19" s="3">
        <v>3</v>
      </c>
      <c r="CS19" s="80" t="str">
        <f>$AU$1&amp;" "&amp;VLOOKUP(B19,'[1]Productivity-MH'!$B:$BA,52,FALSE)</f>
        <v>Hiroshima RJ03150G</v>
      </c>
      <c r="CT19" s="4" t="s">
        <v>168</v>
      </c>
      <c r="CU19" s="6">
        <f>IF(CT19="○",VLOOKUP(B19,'[1]Productivity-MH'!$B:$BH,59,FALSE),"")</f>
        <v>10.6</v>
      </c>
      <c r="CV19" s="6">
        <f>IF(CT19="○",VLOOKUP(B19,'[1]Productivity-MH'!$B:$BF,57,FALSE),"")</f>
        <v>12.5</v>
      </c>
      <c r="CW19" s="33">
        <f t="shared" si="31"/>
        <v>0.84799999999999998</v>
      </c>
      <c r="CX19" s="42">
        <f>IF(CT19="○",VLOOKUP(B19,'[1]Productivity-MH'!$B:$BI,60,FALSE),"")</f>
        <v>0.2</v>
      </c>
      <c r="CY19" s="3">
        <f>IF(CT19="○",VLOOKUP(B19,'[1]Productivity-MH'!$B:$BJ,61,FALSE),"")</f>
        <v>2</v>
      </c>
      <c r="CZ19" s="37">
        <f t="shared" si="32"/>
        <v>10</v>
      </c>
      <c r="DA19" s="3">
        <v>3</v>
      </c>
      <c r="DB19" s="3">
        <v>3</v>
      </c>
      <c r="DC19" s="36" t="str">
        <f>$AU$1&amp;" "&amp;VLOOKUP(B19,'[1]Productivity-MH'!$B:$BK,62,FALSE)</f>
        <v>Hiroshima N207130G</v>
      </c>
      <c r="DD19" s="4" t="s">
        <v>168</v>
      </c>
      <c r="DE19" s="6">
        <f>IF(DD19="○",VLOOKUP(B19,'[1]Productivity-MH'!$B:$BR,69,FALSE),"")</f>
        <v>10.4</v>
      </c>
      <c r="DF19" s="6">
        <f>IF(DD19="○",VLOOKUP(B19,'[1]Productivity-MH'!$B:$BP,67,FALSE),"")</f>
        <v>9</v>
      </c>
      <c r="DG19" s="33">
        <f t="shared" si="33"/>
        <v>1.1555555555555557</v>
      </c>
      <c r="DH19" s="42">
        <f>IF(DD19="○",VLOOKUP(B19,'[1]Productivity-MH'!$B:$BS,70,FALSE),"")</f>
        <v>0.14399999999999999</v>
      </c>
      <c r="DI19" s="3">
        <v>2</v>
      </c>
      <c r="DJ19" s="37">
        <f t="shared" si="34"/>
        <v>13.888888888888889</v>
      </c>
      <c r="DK19" s="3">
        <v>2</v>
      </c>
      <c r="DL19" s="3">
        <v>2</v>
      </c>
      <c r="DM19" s="400"/>
      <c r="DN19" s="145"/>
      <c r="DO19" s="146"/>
      <c r="DP19" s="146"/>
      <c r="DQ19" s="147"/>
      <c r="DR19" s="148"/>
      <c r="DS19" s="149"/>
      <c r="DT19" s="148"/>
      <c r="DU19" s="149"/>
      <c r="DV19" s="149"/>
      <c r="DW19" s="145"/>
      <c r="DX19" s="391"/>
      <c r="DY19" s="392"/>
      <c r="DZ19" s="392"/>
      <c r="EA19" s="393"/>
      <c r="EB19" s="394"/>
      <c r="EC19" s="395"/>
      <c r="ED19" s="394"/>
      <c r="EE19" s="395"/>
      <c r="EF19" s="395"/>
      <c r="EG19" s="391"/>
      <c r="EH19" s="391"/>
      <c r="EI19" s="392"/>
      <c r="EJ19" s="392"/>
      <c r="EK19" s="393"/>
      <c r="EL19" s="394"/>
      <c r="EM19" s="395"/>
      <c r="EN19" s="394"/>
      <c r="EO19" s="395"/>
      <c r="EP19" s="395"/>
      <c r="EQ19" s="391"/>
      <c r="ER19" s="391"/>
      <c r="ES19" s="392"/>
      <c r="ET19" s="392"/>
      <c r="EU19" s="393"/>
      <c r="EV19" s="394"/>
      <c r="EW19" s="395"/>
      <c r="EX19" s="394"/>
      <c r="EY19" s="395"/>
      <c r="EZ19" s="395"/>
      <c r="FA19" s="391"/>
      <c r="FB19" s="391"/>
      <c r="FC19" s="392"/>
      <c r="FD19" s="392"/>
      <c r="FE19" s="393"/>
      <c r="FF19" s="394"/>
      <c r="FG19" s="395"/>
      <c r="FH19" s="394"/>
      <c r="FI19" s="395"/>
      <c r="FJ19" s="395"/>
      <c r="FM19" s="54">
        <f t="shared" si="46"/>
        <v>5.9060000000000006</v>
      </c>
      <c r="FN19" s="54">
        <f t="shared" si="46"/>
        <v>15</v>
      </c>
      <c r="FO19" s="471">
        <f t="shared" si="45"/>
        <v>116.00000000000001</v>
      </c>
      <c r="FP19" s="471">
        <f t="shared" si="45"/>
        <v>106.5</v>
      </c>
      <c r="FQ19" s="295">
        <f t="shared" si="20"/>
        <v>1.1192900208467547</v>
      </c>
      <c r="FR19" s="54">
        <f t="shared" si="21"/>
        <v>6.2021247613142281</v>
      </c>
      <c r="FS19">
        <f t="shared" si="22"/>
        <v>2.539790044023027</v>
      </c>
    </row>
    <row r="20" spans="2:175" ht="254.65" customHeight="1">
      <c r="B20" s="5" t="s">
        <v>751</v>
      </c>
      <c r="C20" s="5" t="s">
        <v>223</v>
      </c>
      <c r="D20" s="5" t="s">
        <v>224</v>
      </c>
      <c r="E20" s="80">
        <v>8</v>
      </c>
      <c r="F20" s="123" t="str">
        <f t="shared" si="47"/>
        <v>×
[P・Q]
×・×</v>
      </c>
      <c r="G20" s="123" t="str">
        <f t="shared" si="1"/>
        <v>×
[P・Q]
×・×</v>
      </c>
      <c r="H20" s="123" t="str">
        <f t="shared" si="2"/>
        <v>×
[P・Q]
×・×</v>
      </c>
      <c r="I20" s="123" t="str">
        <f>IF($E20&lt;I$9,"",IF(AND(BT20&gt;0.6,BW20&lt;=8,BX20=BY20),"○","×")&amp;CHAR(10)&amp;"[P・Q]"&amp;CHAR(10)&amp;IF(BT20="","--",IF(BT20&gt;0.6,"○","×"))&amp;IF(BW20="","・--",IF(BW20&lt;=8,"・○","・×")))</f>
        <v>×
[P・Q]
×・○</v>
      </c>
      <c r="J20" s="123" t="str">
        <f t="shared" si="4"/>
        <v>×
[P・Q]
×・○</v>
      </c>
      <c r="K20" s="123" t="str">
        <f t="shared" si="49"/>
        <v>○
[P・Q]
○・○</v>
      </c>
      <c r="L20" s="123" t="str">
        <f>IF($E20&lt;L$9,"",IF(AND(DG20&gt;0.6,DJ20&lt;=8,DK20=DL20),"○","×")&amp;CHAR(10)&amp;"[P・Q]"&amp;CHAR(10)&amp;IF(DG20="","--",IF(DG20&gt;0.6,"○","×"))&amp;IF(DJ20="","・--",IF(DJ20&lt;=8,"・○","・×")))</f>
        <v>×
[P・Q]
×・○</v>
      </c>
      <c r="M20" s="123" t="str">
        <f t="shared" si="6"/>
        <v>○
[P・Q]
○・○</v>
      </c>
      <c r="N20" s="123"/>
      <c r="O20" s="123" t="str">
        <f t="shared" si="8"/>
        <v/>
      </c>
      <c r="P20" s="123" t="str">
        <f t="shared" si="9"/>
        <v/>
      </c>
      <c r="Q20" s="123" t="str">
        <f t="shared" si="10"/>
        <v/>
      </c>
      <c r="R20" s="511">
        <f t="shared" si="11"/>
        <v>1</v>
      </c>
      <c r="S20" s="80">
        <v>5</v>
      </c>
      <c r="T20" s="80">
        <v>5</v>
      </c>
      <c r="U20" s="80">
        <v>5</v>
      </c>
      <c r="V20" s="80">
        <v>5</v>
      </c>
      <c r="W20" s="123">
        <f t="shared" si="12"/>
        <v>14.0625</v>
      </c>
      <c r="X20" s="123">
        <f t="shared" si="13"/>
        <v>18.75</v>
      </c>
      <c r="Y20" s="123" cm="1">
        <f t="array" ref="Y20">_xlfn.IFS(R20&gt;=0.8,5,R20&gt;=0.6,3,R20&gt;=0.2,1,R20&lt;0.2,0)</f>
        <v>5</v>
      </c>
      <c r="Z20" s="512">
        <f t="shared" si="48"/>
        <v>57.8125</v>
      </c>
      <c r="AA20" s="5" t="s">
        <v>752</v>
      </c>
      <c r="AB20" s="5" t="s">
        <v>753</v>
      </c>
      <c r="AC20" s="80" t="s">
        <v>226</v>
      </c>
      <c r="AD20" s="5" t="s">
        <v>754</v>
      </c>
      <c r="AE20" s="126" t="s">
        <v>174</v>
      </c>
      <c r="AF20" s="5" t="s">
        <v>755</v>
      </c>
      <c r="AG20" s="5"/>
      <c r="AH20" s="201">
        <f t="shared" si="23"/>
        <v>0.64697659009928477</v>
      </c>
      <c r="AI20" s="202">
        <f>IFERROR(AVERAGE(BB20,BL20,BV20,CF20,CP20,CZ20,DJ20,DT20,ED20,EN20)," ")</f>
        <v>7.4218966279465768</v>
      </c>
      <c r="AJ20" s="80" t="str">
        <f t="shared" si="14"/>
        <v>HIGH</v>
      </c>
      <c r="AK20" s="80" t="str">
        <f t="shared" si="15"/>
        <v>HIGH</v>
      </c>
      <c r="AL20" s="237" t="s">
        <v>756</v>
      </c>
      <c r="AM20" s="318" t="s">
        <v>757</v>
      </c>
      <c r="AN20" s="126" t="str">
        <f>IF(AND(Z20&gt;Summary!$C$5, Z20&lt;=Summary!$D$5),Summary!$B$5,IF(AND(Z20&gt;Summary!$C$6, Z20&lt;=Summary!$D$6),Summary!$B$6,IF(AND(Z20&gt;Summary!$C$7, Z20&lt;=Summary!$D$7),Summary!$B$7,Summary!$B$8)))</f>
        <v>○</v>
      </c>
      <c r="AO20" s="126" t="s">
        <v>168</v>
      </c>
      <c r="AP20" s="126"/>
      <c r="AQ20" s="126"/>
      <c r="AR20" s="126"/>
      <c r="AS20" s="126" t="s">
        <v>168</v>
      </c>
      <c r="AT20" s="342" t="s">
        <v>695</v>
      </c>
      <c r="AU20" s="80" t="str">
        <f>$AU$1&amp;" "&amp;VLOOKUP(B20,'[1]Productivity-MH'!$B:$C,2,FALSE)</f>
        <v>Hiroshima RJ02120G</v>
      </c>
      <c r="AV20" s="4" t="s">
        <v>168</v>
      </c>
      <c r="AW20" s="6">
        <f>IF(AV20="○",VLOOKUP(B20,'[1]Productivity-MH'!$B:$J,9,FALSE)," ")</f>
        <v>10.4</v>
      </c>
      <c r="AX20" s="6">
        <f>IF(AV20="○",VLOOKUP(B20,'[1]Productivity-MH'!$B:$H,7,FALSE)," ")</f>
        <v>20</v>
      </c>
      <c r="AY20" s="33">
        <f t="shared" si="16"/>
        <v>0.52</v>
      </c>
      <c r="AZ20" s="42">
        <f>IF(AV20="○",VLOOKUP(B20,'[1]Productivity-MH'!$B:$K,10,FALSE)," ")</f>
        <v>6.0999999999999999E-2</v>
      </c>
      <c r="BA20" s="3">
        <f>IF(AV20="○",VLOOKUP(B20,'[1]Productivity-MH'!$B:$L,11,FALSE)," ")</f>
        <v>1</v>
      </c>
      <c r="BB20" s="37">
        <f t="shared" si="17"/>
        <v>16.393442622950818</v>
      </c>
      <c r="BC20" s="3">
        <v>1</v>
      </c>
      <c r="BD20" s="3">
        <v>1</v>
      </c>
      <c r="BE20" s="80" t="str">
        <f>$AU$1&amp;" "&amp;VLOOKUP(B20,'[1]Productivity-MH'!$B:$M,12,FALSE)</f>
        <v>Hiroshima RJ06H40G</v>
      </c>
      <c r="BF20" s="4" t="s">
        <v>168</v>
      </c>
      <c r="BG20" s="6">
        <f>IF(BF20="○",VLOOKUP(B20,'[1]Productivity-MH'!$B:$T,19,FALSE),"")</f>
        <v>13.700000000000001</v>
      </c>
      <c r="BH20" s="6">
        <f>IF(BF20="○",VLOOKUP(B20,'[1]Productivity-MH'!$B:$R,17,FALSE),"")</f>
        <v>37</v>
      </c>
      <c r="BI20" s="33">
        <f t="shared" si="18"/>
        <v>0.37027027027027032</v>
      </c>
      <c r="BJ20" s="42">
        <f>IF(BF20="○",VLOOKUP(B20,'[1]Productivity-MH'!$B:$U,20,FALSE),"")</f>
        <v>0.20100000000000001</v>
      </c>
      <c r="BK20" s="3">
        <f>IF(BF20="○",VLOOKUP(B20,'[1]Productivity-MH'!$B:$V,21,FALSE),"")</f>
        <v>2</v>
      </c>
      <c r="BL20" s="37">
        <f t="shared" si="19"/>
        <v>9.9502487562189046</v>
      </c>
      <c r="BM20" s="3">
        <v>2</v>
      </c>
      <c r="BN20" s="3">
        <v>2</v>
      </c>
      <c r="BO20" s="80" t="str">
        <f>$AU$1&amp;" "&amp;VLOOKUP(B20,'[1]Productivity-MH'!$B:$W,22,FALSE)</f>
        <v>Hiroshima N280C50G</v>
      </c>
      <c r="BP20" s="4" t="s">
        <v>168</v>
      </c>
      <c r="BQ20" s="6">
        <f>IF(BP20="○",VLOOKUP(B20,'[1]Productivity-MH'!$B:$AD,29,FALSE),"")</f>
        <v>15.5</v>
      </c>
      <c r="BR20" s="6">
        <f>IF(BP20="○",VLOOKUP(B20,'[1]Productivity-MH'!$B:$AB,27,FALSE),"")</f>
        <v>33.5</v>
      </c>
      <c r="BS20" s="33">
        <f t="shared" si="25"/>
        <v>0.46268656716417911</v>
      </c>
      <c r="BT20" s="42">
        <f>IF(BP20="○",VLOOKUP(B20,'[1]Productivity-MH'!$B:$AE,30,FALSE),"")</f>
        <v>0.28699999999999998</v>
      </c>
      <c r="BU20" s="3">
        <f>IF(BP20="○",VLOOKUP(B20,'[1]Productivity-MH'!$B:$AF,31,FALSE),"")</f>
        <v>5</v>
      </c>
      <c r="BV20" s="37">
        <f t="shared" si="26"/>
        <v>17.421602787456447</v>
      </c>
      <c r="BW20" s="3">
        <v>5</v>
      </c>
      <c r="BX20" s="3">
        <v>5</v>
      </c>
      <c r="BY20" s="80" t="str">
        <f>$AU$1&amp;" "&amp;VLOOKUP(B20,'[1]Productivity-MH'!$B:$AG,32,FALSE)</f>
        <v>Hiroshima N203860G</v>
      </c>
      <c r="BZ20" s="4" t="s">
        <v>168</v>
      </c>
      <c r="CA20" s="6">
        <f>IF(BZ20="○",VLOOKUP(B20,'[1]Productivity-MH'!$B:$AN,39,FALSE),"")</f>
        <v>22.8</v>
      </c>
      <c r="CB20" s="6">
        <f>IF(BZ20="○",VLOOKUP(B20,'[1]Productivity-MH'!$B:$AL,37,FALSE),"")</f>
        <v>29</v>
      </c>
      <c r="CC20" s="33">
        <f t="shared" si="27"/>
        <v>0.78620689655172415</v>
      </c>
      <c r="CD20" s="42">
        <f>IF(BZ20="○",VLOOKUP(B20,'[1]Productivity-MH'!$B:$AO,40,FALSE),"")</f>
        <v>0.36899999999999999</v>
      </c>
      <c r="CE20" s="3">
        <f>IF(BZ20="○",VLOOKUP(B20,'[1]Productivity-MH'!$B:$AP,41,FALSE),"")</f>
        <v>3</v>
      </c>
      <c r="CF20" s="37">
        <f t="shared" si="28"/>
        <v>8.1300813008130088</v>
      </c>
      <c r="CG20" s="3">
        <v>3</v>
      </c>
      <c r="CH20" s="3">
        <v>3</v>
      </c>
      <c r="CI20" s="80" t="str">
        <f>$AU$1&amp;" "&amp;VLOOKUP(B20,'[1]Productivity-MH'!$B:$AQ,42,FALSE)</f>
        <v>Hiroshima N205230G</v>
      </c>
      <c r="CJ20" s="4" t="s">
        <v>168</v>
      </c>
      <c r="CK20" s="6">
        <f>IF(CJ20="○",VLOOKUP(B20,'[1]Productivity-MH'!$B:$AX,49,FALSE),"")</f>
        <v>10.5</v>
      </c>
      <c r="CL20" s="6">
        <f>IF(CJ20="○",VLOOKUP(B20,'[1]Productivity-MH'!$B:$AV,47,FALSE),"")</f>
        <v>27</v>
      </c>
      <c r="CM20" s="33">
        <f t="shared" si="29"/>
        <v>0.3888888888888889</v>
      </c>
      <c r="CN20" s="42">
        <f>IF(CJ20="○",VLOOKUP(B20,'[1]Productivity-MH'!$B:$AY,50,FALSE),"")</f>
        <v>0.27300000000000002</v>
      </c>
      <c r="CO20" s="3">
        <f>IF(CJ20="○",VLOOKUP(B20,'[1]Productivity-MH'!$B:$AZ,51,FALSE),"")</f>
        <v>1</v>
      </c>
      <c r="CP20" s="37">
        <f t="shared" si="30"/>
        <v>3.6630036630036629</v>
      </c>
      <c r="CQ20" s="3">
        <v>1</v>
      </c>
      <c r="CR20" s="3">
        <v>1</v>
      </c>
      <c r="CS20" s="80" t="str">
        <f>$AU$1&amp;" "&amp;VLOOKUP(B20,'[1]Productivity-MH'!$B:$BA,52,FALSE)</f>
        <v>Hiroshima N2801B0G</v>
      </c>
      <c r="CT20" s="4" t="s">
        <v>168</v>
      </c>
      <c r="CU20" s="6">
        <f>IF(CT20="○",VLOOKUP(B20,'[1]Productivity-MH'!$B:$BH,59,FALSE),"")</f>
        <v>10.4</v>
      </c>
      <c r="CV20" s="6">
        <f>IF(CT20="○",VLOOKUP(B20,'[1]Productivity-MH'!$B:$BF,57,FALSE),"")</f>
        <v>9.5</v>
      </c>
      <c r="CW20" s="33">
        <f t="shared" si="31"/>
        <v>1.0947368421052632</v>
      </c>
      <c r="CX20" s="42">
        <f>IF(CT20="○",VLOOKUP(B20,'[1]Productivity-MH'!$B:$BI,60,FALSE),"")</f>
        <v>7.1999999999999995E-2</v>
      </c>
      <c r="CY20" s="3">
        <f>IF(CT20="○",VLOOKUP(B20,'[1]Productivity-MH'!$B:$BJ,61,FALSE),"")</f>
        <v>0</v>
      </c>
      <c r="CZ20" s="37">
        <f t="shared" si="32"/>
        <v>0</v>
      </c>
      <c r="DA20" s="3">
        <v>0</v>
      </c>
      <c r="DB20" s="3">
        <v>0</v>
      </c>
      <c r="DC20" s="36" t="str">
        <f>$AU$1&amp;" "&amp;VLOOKUP(B20,'[1]Productivity-MH'!$B:$BK,62,FALSE)</f>
        <v>Hiroshima N207140G</v>
      </c>
      <c r="DD20" s="4" t="s">
        <v>168</v>
      </c>
      <c r="DE20" s="6">
        <f>IF(DD20="○",VLOOKUP(B20,'[1]Productivity-MH'!$B:$BR,69,FALSE),"")</f>
        <v>10.6</v>
      </c>
      <c r="DF20" s="6">
        <f>IF(DD20="○",VLOOKUP(B20,'[1]Productivity-MH'!$B:$BP,67,FALSE),"")</f>
        <v>21.5</v>
      </c>
      <c r="DG20" s="33">
        <f t="shared" si="33"/>
        <v>0.49302325581395345</v>
      </c>
      <c r="DH20" s="42">
        <f>IF(DD20="○",VLOOKUP(B20,'[1]Productivity-MH'!$B:$BS,70,FALSE),"")</f>
        <v>0.26200000000000001</v>
      </c>
      <c r="DI20" s="3">
        <f>IF(DD20="○",VLOOKUP(B20,'[1]Productivity-MH'!$B:$BT,71,FALSE),"")</f>
        <v>1</v>
      </c>
      <c r="DJ20" s="37">
        <f t="shared" si="34"/>
        <v>3.8167938931297707</v>
      </c>
      <c r="DK20" s="3">
        <v>1</v>
      </c>
      <c r="DL20" s="3">
        <v>1</v>
      </c>
      <c r="DM20" s="36" t="str">
        <f>VLOOKUP(B20,'[1]Productivity-MH'!$B:$BU,72,FALSE)</f>
        <v>N203720G</v>
      </c>
      <c r="DN20" s="4" t="s">
        <v>168</v>
      </c>
      <c r="DO20" s="6">
        <f>IF(DN20="○",VLOOKUP(B20,'[1]Productivity-MH'!$B:$BR,69,FALSE),"")</f>
        <v>10.6</v>
      </c>
      <c r="DP20" s="6">
        <f>IF(DN20="○",VLOOKUP(B20,'[1]Productivity-MH'!$B:$BZ,77,FALSE),"")</f>
        <v>10</v>
      </c>
      <c r="DQ20" s="33">
        <f t="shared" si="35"/>
        <v>1.06</v>
      </c>
      <c r="DR20" s="42">
        <v>0.75800000000000001</v>
      </c>
      <c r="DS20" s="3">
        <v>0</v>
      </c>
      <c r="DT20" s="37">
        <f t="shared" si="36"/>
        <v>0</v>
      </c>
      <c r="DU20" s="3">
        <v>0</v>
      </c>
      <c r="DV20" s="3">
        <v>0</v>
      </c>
      <c r="DW20" s="391"/>
      <c r="DX20" s="391"/>
      <c r="DY20" s="392"/>
      <c r="DZ20" s="392"/>
      <c r="EA20" s="393"/>
      <c r="EB20" s="394"/>
      <c r="EC20" s="395"/>
      <c r="ED20" s="394"/>
      <c r="EE20" s="395"/>
      <c r="EF20" s="395"/>
      <c r="EG20" s="391"/>
      <c r="EH20" s="391"/>
      <c r="EI20" s="392"/>
      <c r="EJ20" s="392"/>
      <c r="EK20" s="393"/>
      <c r="EL20" s="394"/>
      <c r="EM20" s="395"/>
      <c r="EN20" s="394"/>
      <c r="EO20" s="395"/>
      <c r="EP20" s="395"/>
      <c r="EQ20" s="391"/>
      <c r="ER20" s="391"/>
      <c r="ES20" s="392"/>
      <c r="ET20" s="392"/>
      <c r="EU20" s="393"/>
      <c r="EV20" s="394"/>
      <c r="EW20" s="395"/>
      <c r="EX20" s="394"/>
      <c r="EY20" s="395"/>
      <c r="EZ20" s="395"/>
      <c r="FA20" s="391"/>
      <c r="FB20" s="391"/>
      <c r="FC20" s="392"/>
      <c r="FD20" s="392"/>
      <c r="FE20" s="393"/>
      <c r="FF20" s="394"/>
      <c r="FG20" s="395"/>
      <c r="FH20" s="394"/>
      <c r="FI20" s="395"/>
      <c r="FJ20" s="395"/>
      <c r="FM20" s="54">
        <f t="shared" si="46"/>
        <v>2.2830000000000004</v>
      </c>
      <c r="FN20" s="54">
        <f t="shared" si="46"/>
        <v>13</v>
      </c>
      <c r="FO20" s="471">
        <f t="shared" si="45"/>
        <v>104.50000000000001</v>
      </c>
      <c r="FP20" s="471">
        <f t="shared" si="45"/>
        <v>187.5</v>
      </c>
      <c r="FQ20" s="295">
        <f t="shared" si="20"/>
        <v>0.64697659009928477</v>
      </c>
      <c r="FR20" s="54">
        <f t="shared" si="21"/>
        <v>7.4218966279465768</v>
      </c>
      <c r="FS20">
        <f t="shared" si="22"/>
        <v>5.6942619360490569</v>
      </c>
    </row>
    <row r="21" spans="2:175" ht="189.6" customHeight="1">
      <c r="B21" s="29" t="s">
        <v>758</v>
      </c>
      <c r="C21" s="5" t="s">
        <v>223</v>
      </c>
      <c r="D21" s="5" t="s">
        <v>224</v>
      </c>
      <c r="E21" s="80">
        <v>4</v>
      </c>
      <c r="F21" s="123" t="str">
        <f t="shared" si="47"/>
        <v>×
[P・Q]
×・○</v>
      </c>
      <c r="G21" s="123" t="str">
        <f t="shared" si="1"/>
        <v>×
[P・Q]
×・○</v>
      </c>
      <c r="H21" s="123" t="str">
        <f>IF($E21&lt;H$9,"",IF(AND(BS21&gt;0.6,BV21&lt;=8,BW21=BX21),"○","×")&amp;CHAR(10)&amp;"[P・Q]"&amp;CHAR(10)&amp;IF(BS21="","--",IF(BS21&gt;0.6,"○","×"))&amp;IF(BV21="","・--",IF(BV21&lt;=8,"・○","・×")))</f>
        <v>○
[P・Q]
○・○</v>
      </c>
      <c r="I21" s="123" t="str">
        <f t="shared" ref="I21:I31" si="51">IF($E21&lt;I$9,"",IF(AND(CC21&gt;0.6,CF21&lt;=8,CG21=CH21),"○","×")&amp;CHAR(10)&amp;"[P・Q]"&amp;CHAR(10)&amp;IF(CC21="","--",IF(CC21&gt;0.6,"○","×"))&amp;IF(CF21="","・--",IF(CF21&lt;=8,"・○","・×")))</f>
        <v>×
[P・Q]
×・×</v>
      </c>
      <c r="J21" s="123" t="str">
        <f t="shared" si="4"/>
        <v/>
      </c>
      <c r="K21" s="123" t="str">
        <f t="shared" si="49"/>
        <v/>
      </c>
      <c r="L21" s="123" t="str">
        <f>IF($E21&lt;L$9,"",IF(AND(DG21&gt;0.6,DJ21&lt;=8,DK21=DL21),"○","×")&amp;CHAR(10)&amp;"[P・Q]"&amp;CHAR(10)&amp;IF(DG21="","--",IF(DG21&gt;0.6,"○","×"))&amp;IF(DJ21="","・--",IF(DJ21&lt;=8,"・○","・×")))</f>
        <v/>
      </c>
      <c r="M21" s="123" t="str">
        <f t="shared" si="6"/>
        <v/>
      </c>
      <c r="N21" s="123" t="str">
        <f t="shared" ref="N21:N31" si="52">IF($E21&lt;N$9,"",IF(AND(EA21&gt;0.6,ED21&lt;=8,EE21=EF21),"○","×")&amp;CHAR(10)&amp;"[P・Q]"&amp;CHAR(10)&amp;IF(EA21="","--",IF(EA21&gt;0.6,"○","×"))&amp;IF(ED21="","・--",IF(ED21&lt;=8,"・○","・×")))</f>
        <v/>
      </c>
      <c r="O21" s="123" t="str">
        <f t="shared" si="8"/>
        <v/>
      </c>
      <c r="P21" s="123" t="str">
        <f t="shared" si="9"/>
        <v/>
      </c>
      <c r="Q21" s="123" t="str">
        <f t="shared" si="10"/>
        <v/>
      </c>
      <c r="R21" s="511">
        <f t="shared" si="11"/>
        <v>1</v>
      </c>
      <c r="S21" s="80">
        <v>5</v>
      </c>
      <c r="T21" s="80">
        <v>5</v>
      </c>
      <c r="U21" s="80">
        <v>5</v>
      </c>
      <c r="V21" s="80">
        <v>3</v>
      </c>
      <c r="W21" s="123">
        <f t="shared" si="12"/>
        <v>9.375</v>
      </c>
      <c r="X21" s="123">
        <f t="shared" si="13"/>
        <v>28.125</v>
      </c>
      <c r="Y21" s="123" cm="1">
        <f t="array" ref="Y21">_xlfn.IFS(R21&gt;=0.8,5,R21&gt;=0.6,3,R21&gt;=0.2,1,R21&lt;0.2,0)</f>
        <v>5</v>
      </c>
      <c r="Z21" s="512">
        <f t="shared" si="48"/>
        <v>60.5</v>
      </c>
      <c r="AA21" s="184" t="s">
        <v>759</v>
      </c>
      <c r="AB21" s="5" t="s">
        <v>760</v>
      </c>
      <c r="AC21" s="126" t="s">
        <v>174</v>
      </c>
      <c r="AD21" s="5" t="s">
        <v>761</v>
      </c>
      <c r="AE21" s="5"/>
      <c r="AF21" s="5" t="s">
        <v>762</v>
      </c>
      <c r="AG21" s="5"/>
      <c r="AH21" s="201">
        <f t="shared" si="23"/>
        <v>0.54067080832351311</v>
      </c>
      <c r="AI21" s="202">
        <f t="shared" si="24"/>
        <v>6.1302378546650704</v>
      </c>
      <c r="AJ21" s="80" t="str">
        <f t="shared" si="14"/>
        <v>LOW</v>
      </c>
      <c r="AK21" s="80" t="str">
        <f t="shared" si="15"/>
        <v>HIGH</v>
      </c>
      <c r="AL21" s="237" t="s">
        <v>763</v>
      </c>
      <c r="AM21" s="318" t="s">
        <v>764</v>
      </c>
      <c r="AN21" s="126" t="str">
        <f>IF(AND(Z21&gt;Summary!$C$5, Z21&lt;=Summary!$D$5),Summary!$B$5,IF(AND(Z21&gt;Summary!$C$6, Z21&lt;=Summary!$D$6),Summary!$B$6,IF(AND(Z21&gt;Summary!$C$7, Z21&lt;=Summary!$D$7),Summary!$B$7,Summary!$B$8)))</f>
        <v>○</v>
      </c>
      <c r="AO21" s="126" t="s">
        <v>168</v>
      </c>
      <c r="AP21" s="126"/>
      <c r="AQ21" s="126"/>
      <c r="AR21" s="126"/>
      <c r="AS21" s="126" t="s">
        <v>168</v>
      </c>
      <c r="AT21" s="5" t="s">
        <v>765</v>
      </c>
      <c r="AU21" s="80" t="str">
        <f>$AU$1&amp;" "&amp;VLOOKUP(B21,'[1]Productivity-MH'!$B:$C,2,FALSE)</f>
        <v>Hiroshima N203120G</v>
      </c>
      <c r="AV21" s="4" t="s">
        <v>168</v>
      </c>
      <c r="AW21" s="6">
        <f>IF(AV21="○",VLOOKUP(B21,'[1]Productivity-MH'!$B:$J,9,FALSE)," ")</f>
        <v>22.8</v>
      </c>
      <c r="AX21" s="6">
        <f>IF(AV21="○",VLOOKUP(B21,'[1]Productivity-MH'!$B:$H,7,FALSE)," ")</f>
        <v>65</v>
      </c>
      <c r="AY21" s="33">
        <f t="shared" si="16"/>
        <v>0.35076923076923078</v>
      </c>
      <c r="AZ21" s="42">
        <f>IF(AV21="○",VLOOKUP(B21,'[1]Productivity-MH'!$B:$K,10,FALSE)," ")</f>
        <v>2.6819999999999999</v>
      </c>
      <c r="BA21" s="3">
        <f>IF(AV21="○",VLOOKUP(B21,'[1]Productivity-MH'!$B:$L,11,FALSE)," ")</f>
        <v>5</v>
      </c>
      <c r="BB21" s="37">
        <f t="shared" si="17"/>
        <v>1.8642803877703207</v>
      </c>
      <c r="BC21" s="3">
        <v>5</v>
      </c>
      <c r="BD21" s="3">
        <v>5</v>
      </c>
      <c r="BE21" s="80" t="str">
        <f>$AU$1&amp;" "&amp;VLOOKUP(B21,'[1]Productivity-MH'!$B:$M,12,FALSE)</f>
        <v>Hiroshima N203121G</v>
      </c>
      <c r="BF21" s="4" t="s">
        <v>168</v>
      </c>
      <c r="BG21" s="6">
        <f>IF(BF21="○",VLOOKUP(B21,'[1]Productivity-MH'!$B:$T,19,FALSE),"")</f>
        <v>22.700000000000003</v>
      </c>
      <c r="BH21" s="6">
        <f>IF(BF21="○",VLOOKUP(B21,'[1]Productivity-MH'!$B:$R,17,FALSE),"")</f>
        <v>39.5</v>
      </c>
      <c r="BI21" s="33">
        <f t="shared" si="18"/>
        <v>0.57468354430379753</v>
      </c>
      <c r="BJ21" s="42">
        <f>IF(BF21="○",VLOOKUP(B21,'[1]Productivity-MH'!$B:$U,20,FALSE),"")</f>
        <v>2.552</v>
      </c>
      <c r="BK21" s="3">
        <f>IF(BF21="○",VLOOKUP(B21,'[1]Productivity-MH'!$B:$V,21,FALSE),"")</f>
        <v>5</v>
      </c>
      <c r="BL21" s="37">
        <f t="shared" si="19"/>
        <v>1.9592476489028212</v>
      </c>
      <c r="BM21" s="3">
        <v>5</v>
      </c>
      <c r="BN21" s="3">
        <v>5</v>
      </c>
      <c r="BO21" s="80" t="str">
        <f>$AU$1&amp;" "&amp;VLOOKUP(B21,'[1]Productivity-MH'!$B:$W,22,FALSE)</f>
        <v>Hiroshima N203122G</v>
      </c>
      <c r="BP21" s="4" t="s">
        <v>168</v>
      </c>
      <c r="BQ21" s="6">
        <f>IF(BP21="○",VLOOKUP(B21,'[1]Productivity-MH'!$B:$AD,29,FALSE),"")</f>
        <v>43.9</v>
      </c>
      <c r="BR21" s="6">
        <v>53</v>
      </c>
      <c r="BS21" s="33">
        <f t="shared" si="25"/>
        <v>0.82830188679245276</v>
      </c>
      <c r="BT21" s="42">
        <f>IF(BP21="○",VLOOKUP(B21,'[1]Productivity-MH'!$B:$AE,30,FALSE),"")</f>
        <v>1.341</v>
      </c>
      <c r="BU21" s="3">
        <v>9</v>
      </c>
      <c r="BV21" s="37">
        <f t="shared" si="26"/>
        <v>6.7114093959731544</v>
      </c>
      <c r="BW21" s="3">
        <v>9</v>
      </c>
      <c r="BX21" s="3">
        <v>9</v>
      </c>
      <c r="BY21" s="80" t="str">
        <f>$AU$1&amp;" "&amp;VLOOKUP(B21,'[1]Productivity-MH'!$B:$AG,32,FALSE)</f>
        <v>Hiroshima N205140G</v>
      </c>
      <c r="BZ21" s="4" t="s">
        <v>168</v>
      </c>
      <c r="CA21" s="6">
        <f>IF(BZ21="○",VLOOKUP(B21,'[1]Productivity-MH'!$B:$AN,39,FALSE),"")</f>
        <v>22.900000000000002</v>
      </c>
      <c r="CB21" s="6">
        <f>IF(BZ21="○",VLOOKUP(B21,'[1]Productivity-MH'!$B:$AL,37,FALSE),"")</f>
        <v>56</v>
      </c>
      <c r="CC21" s="33">
        <f t="shared" si="27"/>
        <v>0.40892857142857147</v>
      </c>
      <c r="CD21" s="42">
        <v>0.85799999999999998</v>
      </c>
      <c r="CE21" s="3">
        <v>12</v>
      </c>
      <c r="CF21" s="37">
        <f t="shared" si="28"/>
        <v>13.986013986013987</v>
      </c>
      <c r="CG21" s="3">
        <v>12</v>
      </c>
      <c r="CH21" s="3">
        <v>12</v>
      </c>
      <c r="CI21" s="232"/>
      <c r="CJ21" s="145"/>
      <c r="CK21" s="146"/>
      <c r="CL21" s="146"/>
      <c r="CM21" s="147"/>
      <c r="CN21" s="148"/>
      <c r="CO21" s="149"/>
      <c r="CP21" s="148"/>
      <c r="CQ21" s="149"/>
      <c r="CR21" s="149"/>
      <c r="CS21" s="232"/>
      <c r="CT21" s="145"/>
      <c r="CU21" s="146"/>
      <c r="CV21" s="146"/>
      <c r="CW21" s="147"/>
      <c r="CX21" s="148"/>
      <c r="CY21" s="149"/>
      <c r="CZ21" s="148"/>
      <c r="DA21" s="149"/>
      <c r="DB21" s="149"/>
      <c r="DC21" s="400"/>
      <c r="DD21" s="145"/>
      <c r="DE21" s="146"/>
      <c r="DF21" s="146"/>
      <c r="DG21" s="147"/>
      <c r="DH21" s="148"/>
      <c r="DI21" s="149"/>
      <c r="DJ21" s="148"/>
      <c r="DK21" s="149"/>
      <c r="DL21" s="149"/>
      <c r="DM21" s="400"/>
      <c r="DN21" s="145"/>
      <c r="DO21" s="146"/>
      <c r="DP21" s="146"/>
      <c r="DQ21" s="147"/>
      <c r="DR21" s="148"/>
      <c r="DS21" s="149"/>
      <c r="DT21" s="148"/>
      <c r="DU21" s="149"/>
      <c r="DV21" s="149"/>
      <c r="DW21" s="145"/>
      <c r="DX21" s="145"/>
      <c r="DY21" s="146"/>
      <c r="DZ21" s="146"/>
      <c r="EA21" s="147"/>
      <c r="EB21" s="148"/>
      <c r="EC21" s="149"/>
      <c r="ED21" s="148"/>
      <c r="EE21" s="149"/>
      <c r="EF21" s="149"/>
      <c r="EG21" s="145"/>
      <c r="EH21" s="145"/>
      <c r="EI21" s="146"/>
      <c r="EJ21" s="146"/>
      <c r="EK21" s="147"/>
      <c r="EL21" s="394"/>
      <c r="EM21" s="395"/>
      <c r="EN21" s="394"/>
      <c r="EO21" s="395"/>
      <c r="EP21" s="395"/>
      <c r="EQ21" s="391"/>
      <c r="ER21" s="391"/>
      <c r="ES21" s="392"/>
      <c r="ET21" s="392"/>
      <c r="EU21" s="393"/>
      <c r="EV21" s="394"/>
      <c r="EW21" s="395"/>
      <c r="EX21" s="394"/>
      <c r="EY21" s="395"/>
      <c r="EZ21" s="395"/>
      <c r="FA21" s="391"/>
      <c r="FB21" s="391"/>
      <c r="FC21" s="392"/>
      <c r="FD21" s="392"/>
      <c r="FE21" s="393"/>
      <c r="FF21" s="394"/>
      <c r="FG21" s="395"/>
      <c r="FH21" s="394"/>
      <c r="FI21" s="395"/>
      <c r="FJ21" s="395"/>
      <c r="FM21" s="54">
        <f t="shared" si="46"/>
        <v>7.4329999999999998</v>
      </c>
      <c r="FN21" s="54">
        <f t="shared" si="46"/>
        <v>31</v>
      </c>
      <c r="FO21" s="471">
        <f t="shared" si="45"/>
        <v>112.3</v>
      </c>
      <c r="FP21" s="471">
        <f t="shared" si="45"/>
        <v>213.5</v>
      </c>
      <c r="FQ21" s="295">
        <f t="shared" si="20"/>
        <v>0.54067080832351311</v>
      </c>
      <c r="FR21" s="54">
        <f t="shared" si="21"/>
        <v>6.1302378546650704</v>
      </c>
      <c r="FS21">
        <f t="shared" si="22"/>
        <v>4.1705906094443694</v>
      </c>
    </row>
    <row r="22" spans="2:175" ht="140.1" customHeight="1">
      <c r="B22" s="5" t="s">
        <v>766</v>
      </c>
      <c r="C22" s="5" t="s">
        <v>287</v>
      </c>
      <c r="D22" s="5" t="s">
        <v>313</v>
      </c>
      <c r="E22" s="80">
        <v>8</v>
      </c>
      <c r="F22" s="123" t="str">
        <f t="shared" si="47"/>
        <v>×
[P・Q]
○・×</v>
      </c>
      <c r="G22" s="123" t="str">
        <f t="shared" si="1"/>
        <v>×
[P・Q]
×・×</v>
      </c>
      <c r="H22" s="123" t="str">
        <f t="shared" si="2"/>
        <v>○
[P・Q]
○・○</v>
      </c>
      <c r="I22" s="123" t="str">
        <f t="shared" si="51"/>
        <v>×
[P・Q]
×・○</v>
      </c>
      <c r="J22" s="123" t="str">
        <f t="shared" si="4"/>
        <v>×
[P・Q]
×・×</v>
      </c>
      <c r="K22" s="123" t="str">
        <f t="shared" si="49"/>
        <v>×
[P・Q]
×・○</v>
      </c>
      <c r="L22" s="123" t="str">
        <f>IF($E22&lt;L$9,"",IF(AND(DG22&gt;0.6,DJ22&lt;=8,DK22=DL22),"○","×")&amp;CHAR(10)&amp;"[P・Q]"&amp;CHAR(10)&amp;IF(DG22="","--",IF(DG22&gt;0.6,"○","×"))&amp;IF(DJ22="","・--",IF(DJ22&lt;=8,"・○","・×")))</f>
        <v>×
[P・Q]
×・○</v>
      </c>
      <c r="M22" s="123" t="str">
        <f t="shared" si="6"/>
        <v>×
[P・Q]
×・×</v>
      </c>
      <c r="N22" s="123" t="str">
        <f t="shared" si="52"/>
        <v/>
      </c>
      <c r="O22" s="123" t="str">
        <f t="shared" si="8"/>
        <v/>
      </c>
      <c r="P22" s="123" t="str">
        <f t="shared" si="9"/>
        <v/>
      </c>
      <c r="Q22" s="123" t="str">
        <f t="shared" si="10"/>
        <v/>
      </c>
      <c r="R22" s="511">
        <f t="shared" si="11"/>
        <v>1</v>
      </c>
      <c r="S22" s="36">
        <v>5</v>
      </c>
      <c r="T22" s="36">
        <v>5</v>
      </c>
      <c r="U22" s="36">
        <v>5</v>
      </c>
      <c r="V22" s="80">
        <v>5</v>
      </c>
      <c r="W22" s="513">
        <f t="shared" si="12"/>
        <v>9.375</v>
      </c>
      <c r="X22" s="513">
        <f t="shared" si="13"/>
        <v>14.0625</v>
      </c>
      <c r="Y22" s="513" cm="1">
        <f t="array" ref="Y22">_xlfn.IFS(R22&gt;=0.8,5,R22&gt;=0.6,3,R22&gt;=0.2,1,R22&lt;0.2,0)</f>
        <v>5</v>
      </c>
      <c r="Z22" s="512">
        <f t="shared" si="48"/>
        <v>48.4375</v>
      </c>
      <c r="AA22" s="5" t="s">
        <v>767</v>
      </c>
      <c r="AB22" s="5" t="s">
        <v>768</v>
      </c>
      <c r="AC22" s="80" t="s">
        <v>226</v>
      </c>
      <c r="AD22" s="5" t="s">
        <v>769</v>
      </c>
      <c r="AE22" s="126" t="s">
        <v>174</v>
      </c>
      <c r="AF22" s="5" t="s">
        <v>770</v>
      </c>
      <c r="AG22" s="5"/>
      <c r="AH22" s="201">
        <f t="shared" si="23"/>
        <v>0.49887788221777329</v>
      </c>
      <c r="AI22" s="202">
        <f t="shared" si="24"/>
        <v>9.1671169654934594</v>
      </c>
      <c r="AJ22" s="80" t="str">
        <f t="shared" si="14"/>
        <v>LOW</v>
      </c>
      <c r="AK22" s="80" t="str">
        <f t="shared" si="15"/>
        <v>LOW</v>
      </c>
      <c r="AL22" s="231" t="s">
        <v>771</v>
      </c>
      <c r="AM22" s="214" t="s">
        <v>772</v>
      </c>
      <c r="AN22" s="126" t="str">
        <f>IF(AND(Z22&gt;Summary!$C$5, Z22&lt;=Summary!$D$5),Summary!$B$5,IF(AND(Z22&gt;Summary!$C$6, Z22&lt;=Summary!$D$6),Summary!$B$6,IF(AND(Z22&gt;Summary!$C$7, Z22&lt;=Summary!$D$7),Summary!$B$7,Summary!$B$8)))</f>
        <v>△</v>
      </c>
      <c r="AO22" s="126" t="s">
        <v>168</v>
      </c>
      <c r="AP22" s="126"/>
      <c r="AQ22" s="126" t="s">
        <v>168</v>
      </c>
      <c r="AR22" s="126"/>
      <c r="AS22" s="126"/>
      <c r="AT22" s="161" t="s">
        <v>695</v>
      </c>
      <c r="AU22" s="80" t="str">
        <f>$AU$1&amp;" "&amp;VLOOKUP(B22,'[1]Productivity-MH'!$B:$C,2,FALSE)</f>
        <v>Hiroshima RJ02S10G</v>
      </c>
      <c r="AV22" s="4" t="s">
        <v>168</v>
      </c>
      <c r="AW22" s="6">
        <f>IF(AV22="○",VLOOKUP(B22,'[1]Productivity-MH'!$B:$J,9,FALSE)," ")</f>
        <v>15.4</v>
      </c>
      <c r="AX22" s="6">
        <f>IF(AV22="○",VLOOKUP(B22,'[1]Productivity-MH'!$B:$H,7,FALSE)," ")</f>
        <v>22</v>
      </c>
      <c r="AY22" s="33">
        <f t="shared" si="16"/>
        <v>0.70000000000000007</v>
      </c>
      <c r="AZ22" s="42">
        <f>IF(AV22="○",VLOOKUP(B22,'[1]Productivity-MH'!$B:$K,10,FALSE)," ")</f>
        <v>0.11700000000000001</v>
      </c>
      <c r="BA22" s="3">
        <f>IF(AV22="○",VLOOKUP(B22,'[1]Productivity-MH'!$B:$L,11,FALSE)," ")</f>
        <v>1</v>
      </c>
      <c r="BB22" s="37">
        <f t="shared" si="17"/>
        <v>8.5470085470085468</v>
      </c>
      <c r="BC22" s="3">
        <v>1</v>
      </c>
      <c r="BD22" s="3">
        <v>1</v>
      </c>
      <c r="BE22" s="80" t="str">
        <f>$AU$1&amp;" "&amp;VLOOKUP(B22,'[1]Productivity-MH'!$B:$M,12,FALSE)</f>
        <v>Hiroshima RJ07280G</v>
      </c>
      <c r="BF22" s="4" t="s">
        <v>168</v>
      </c>
      <c r="BG22" s="6">
        <f>IF(BF22="○",VLOOKUP(B22,'[1]Productivity-MH'!$B:$T,19,FALSE),"")</f>
        <v>10.700000000000001</v>
      </c>
      <c r="BH22" s="6">
        <f>IF(BF22="○",VLOOKUP(B22,'[1]Productivity-MH'!$B:$R,17,FALSE),"")</f>
        <v>24.5</v>
      </c>
      <c r="BI22" s="33">
        <f t="shared" si="18"/>
        <v>0.43673469387755104</v>
      </c>
      <c r="BJ22" s="42">
        <f>IF(BF22="○",VLOOKUP(B22,'[1]Productivity-MH'!$B:$U,20,FALSE),"")</f>
        <v>0.28599999999999998</v>
      </c>
      <c r="BK22" s="3">
        <f>IF(BF22="○",VLOOKUP(B22,'[1]Productivity-MH'!$B:$V,21,FALSE),"")</f>
        <v>5</v>
      </c>
      <c r="BL22" s="37">
        <f t="shared" si="19"/>
        <v>17.482517482517483</v>
      </c>
      <c r="BM22" s="3">
        <v>5</v>
      </c>
      <c r="BN22" s="3">
        <v>5</v>
      </c>
      <c r="BO22" s="80" t="str">
        <f>$AU$1&amp;" "&amp;VLOOKUP(B22,'[1]Productivity-MH'!$B:$W,22,FALSE)</f>
        <v>Hiroshima N203C30G</v>
      </c>
      <c r="BP22" s="4" t="s">
        <v>168</v>
      </c>
      <c r="BQ22" s="6">
        <f>IF(BP22="○",VLOOKUP(B22,'[1]Productivity-MH'!$B:$AD,29,FALSE),"")</f>
        <v>22.700000000000003</v>
      </c>
      <c r="BR22" s="6">
        <f>IF(BP22="○",VLOOKUP(B22,'[1]Productivity-MH'!$B:$AB,27,FALSE),"")</f>
        <v>30</v>
      </c>
      <c r="BS22" s="33">
        <f t="shared" si="25"/>
        <v>0.75666666666666671</v>
      </c>
      <c r="BT22" s="42">
        <f>IF(BP22="○",VLOOKUP(B22,'[1]Productivity-MH'!$B:$AE,30,FALSE),"")</f>
        <v>0.81499999999999995</v>
      </c>
      <c r="BU22" s="3">
        <f>IF(BP22="○",VLOOKUP(B22,'[1]Productivity-MH'!$B:$AF,31,FALSE),"")</f>
        <v>3</v>
      </c>
      <c r="BV22" s="37">
        <f t="shared" si="26"/>
        <v>3.6809815950920246</v>
      </c>
      <c r="BW22" s="3">
        <v>3</v>
      </c>
      <c r="BX22" s="3">
        <v>3</v>
      </c>
      <c r="BY22" s="80" t="str">
        <f>$AU$1&amp;" "&amp;VLOOKUP(B22,'[1]Productivity-MH'!$B:$AG,32,FALSE)</f>
        <v>Hiroshima N203C31G</v>
      </c>
      <c r="BZ22" s="4" t="s">
        <v>168</v>
      </c>
      <c r="CA22" s="6">
        <f>IF(BZ22="○",VLOOKUP(B22,'[1]Productivity-MH'!$B:$AN,39,FALSE),"")</f>
        <v>16.100000000000001</v>
      </c>
      <c r="CB22" s="6">
        <f>IF(BZ22="○",VLOOKUP(B22,'[1]Productivity-MH'!$B:$AL,37,FALSE),"")</f>
        <v>28</v>
      </c>
      <c r="CC22" s="33">
        <f t="shared" si="27"/>
        <v>0.57500000000000007</v>
      </c>
      <c r="CD22" s="42">
        <f>IF(BZ22="○",VLOOKUP(B22,'[1]Productivity-MH'!$B:$AO,40,FALSE),"")</f>
        <v>0.623</v>
      </c>
      <c r="CE22" s="3">
        <f>IF(BZ22="○",VLOOKUP(B22,'[1]Productivity-MH'!$B:$AP,41,FALSE),"")</f>
        <v>4</v>
      </c>
      <c r="CF22" s="37">
        <f t="shared" si="28"/>
        <v>6.4205457463884432</v>
      </c>
      <c r="CG22" s="3">
        <v>4</v>
      </c>
      <c r="CH22" s="3">
        <v>4</v>
      </c>
      <c r="CI22" s="80" t="str">
        <f>$AU$1&amp;" "&amp;VLOOKUP(B22,'[1]Productivity-MH'!$B:$AQ,42,FALSE)</f>
        <v>Hiroshima N2J1100G</v>
      </c>
      <c r="CJ22" s="4" t="s">
        <v>168</v>
      </c>
      <c r="CK22" s="6">
        <f>IF(CJ22="○",VLOOKUP(B22,'[1]Productivity-MH'!$B:$AX,49,FALSE),"")</f>
        <v>10.5</v>
      </c>
      <c r="CL22" s="6">
        <f>IF(CJ22="○",VLOOKUP(B22,'[1]Productivity-MH'!$B:$AV,47,FALSE),"")</f>
        <v>27.5</v>
      </c>
      <c r="CM22" s="33">
        <f t="shared" si="29"/>
        <v>0.38181818181818183</v>
      </c>
      <c r="CN22" s="42">
        <f>IF(CJ22="○",VLOOKUP(B22,'[1]Productivity-MH'!$B:$AY,50,FALSE),"")</f>
        <v>0.08</v>
      </c>
      <c r="CO22" s="3">
        <f>IF(CJ22="○",VLOOKUP(B22,'[1]Productivity-MH'!$B:$AZ,51,FALSE),"")</f>
        <v>1</v>
      </c>
      <c r="CP22" s="37">
        <f t="shared" si="30"/>
        <v>12.5</v>
      </c>
      <c r="CQ22" s="3">
        <v>2</v>
      </c>
      <c r="CR22" s="3">
        <v>2</v>
      </c>
      <c r="CS22" s="80" t="str">
        <f>$AU$1&amp;" "&amp;VLOOKUP(B22,'[1]Productivity-MH'!$B:$BA,52,FALSE)</f>
        <v>Hiroshima RJ07Z60G</v>
      </c>
      <c r="CT22" s="4" t="s">
        <v>168</v>
      </c>
      <c r="CU22" s="6">
        <f>IF(CT22="○",VLOOKUP(B22,'[1]Productivity-MH'!$B:$BH,59,FALSE),"")</f>
        <v>10.5</v>
      </c>
      <c r="CV22" s="6">
        <f>IF(CT22="○",VLOOKUP(B22,'[1]Productivity-MH'!$B:$BF,57,FALSE),"")</f>
        <v>27</v>
      </c>
      <c r="CW22" s="33">
        <f t="shared" si="31"/>
        <v>0.3888888888888889</v>
      </c>
      <c r="CX22" s="42">
        <f>IF(CT22="○",VLOOKUP(B22,'[1]Productivity-MH'!$B:$BI,60,FALSE),"")</f>
        <v>0.1</v>
      </c>
      <c r="CY22" s="3">
        <f>IF(CT22="○",VLOOKUP(B22,'[1]Productivity-MH'!$B:$BJ,61,FALSE),"")</f>
        <v>1</v>
      </c>
      <c r="CZ22" s="37">
        <f t="shared" si="32"/>
        <v>10</v>
      </c>
      <c r="DA22" s="3">
        <v>2</v>
      </c>
      <c r="DB22" s="3">
        <v>2</v>
      </c>
      <c r="DC22" s="36" t="str">
        <f>$AU$1&amp;" "&amp;VLOOKUP(B22,'[1]Productivity-MH'!$B:$BK,62,FALSE)</f>
        <v>Hiroshima RJ83400G</v>
      </c>
      <c r="DD22" s="4" t="s">
        <v>168</v>
      </c>
      <c r="DE22" s="6">
        <f>IF(DD22="○",VLOOKUP(B22,'[1]Productivity-MH'!$B:$BR,69,FALSE),"")</f>
        <v>10.6</v>
      </c>
      <c r="DF22" s="6">
        <f>IF(DD22="○",VLOOKUP(B22,'[1]Productivity-MH'!$B:$BP,67,FALSE),"")</f>
        <v>27</v>
      </c>
      <c r="DG22" s="33">
        <f t="shared" si="33"/>
        <v>0.3925925925925926</v>
      </c>
      <c r="DH22" s="42">
        <f>IF(DD22="○",VLOOKUP(B22,'[1]Productivity-MH'!$B:$BS,70,FALSE),"")</f>
        <v>0.2</v>
      </c>
      <c r="DI22" s="3">
        <f>IF(DD22="○",VLOOKUP(B22,'[1]Productivity-MH'!$B:$BT,71,FALSE),"")</f>
        <v>0</v>
      </c>
      <c r="DJ22" s="37">
        <f t="shared" si="34"/>
        <v>0</v>
      </c>
      <c r="DK22" s="3">
        <v>2</v>
      </c>
      <c r="DL22" s="3">
        <v>2</v>
      </c>
      <c r="DM22" s="36" t="str">
        <f>VLOOKUP(B22,'[1]Productivity-MH'!$B:$BU,72,FALSE)</f>
        <v>N207190G</v>
      </c>
      <c r="DN22" s="4" t="s">
        <v>168</v>
      </c>
      <c r="DO22" s="6">
        <f>IF(DN22="○",VLOOKUP(B22,'[1]Productivity-MH'!$B:$BR,69,FALSE),"")</f>
        <v>10.6</v>
      </c>
      <c r="DP22" s="6">
        <f>IF(DN22="○",VLOOKUP(B22,'[1]Productivity-MH'!$B:$BZ,77,FALSE),"")</f>
        <v>29.5</v>
      </c>
      <c r="DQ22" s="33">
        <f t="shared" si="35"/>
        <v>0.35932203389830508</v>
      </c>
      <c r="DR22" s="42">
        <f>IF(DN22="○",VLOOKUP(B22,'[1]Productivity-MH'!$B:$CC,80,FALSE),"")</f>
        <v>0.13600000000000001</v>
      </c>
      <c r="DS22" s="3">
        <f>IF(DN22="○",VLOOKUP(B22,'[1]Productivity-MH'!$B:$CD,81,FALSE),"")</f>
        <v>2</v>
      </c>
      <c r="DT22" s="37">
        <f t="shared" si="36"/>
        <v>14.705882352941176</v>
      </c>
      <c r="DU22" s="3">
        <v>2</v>
      </c>
      <c r="DV22" s="3">
        <v>2</v>
      </c>
      <c r="DW22" s="391"/>
      <c r="DX22" s="391"/>
      <c r="DY22" s="392"/>
      <c r="DZ22" s="392"/>
      <c r="EA22" s="393"/>
      <c r="EB22" s="394"/>
      <c r="EC22" s="395"/>
      <c r="ED22" s="394"/>
      <c r="EE22" s="395"/>
      <c r="EF22" s="395"/>
      <c r="EG22" s="391"/>
      <c r="EH22" s="391"/>
      <c r="EI22" s="392"/>
      <c r="EJ22" s="392"/>
      <c r="EK22" s="393"/>
      <c r="EL22" s="394"/>
      <c r="EM22" s="395"/>
      <c r="EN22" s="394"/>
      <c r="EO22" s="395"/>
      <c r="EP22" s="395"/>
      <c r="EQ22" s="391"/>
      <c r="ER22" s="391"/>
      <c r="ES22" s="392"/>
      <c r="ET22" s="392"/>
      <c r="EU22" s="393"/>
      <c r="EV22" s="394"/>
      <c r="EW22" s="395"/>
      <c r="EX22" s="394"/>
      <c r="EY22" s="395"/>
      <c r="EZ22" s="395"/>
      <c r="FA22" s="391"/>
      <c r="FB22" s="391"/>
      <c r="FC22" s="392"/>
      <c r="FD22" s="392"/>
      <c r="FE22" s="393"/>
      <c r="FF22" s="394"/>
      <c r="FG22" s="395"/>
      <c r="FH22" s="394"/>
      <c r="FI22" s="395"/>
      <c r="FJ22" s="395"/>
      <c r="FM22" s="54">
        <f t="shared" si="46"/>
        <v>2.3569999999999998</v>
      </c>
      <c r="FN22" s="54">
        <f t="shared" si="46"/>
        <v>17</v>
      </c>
      <c r="FO22" s="471">
        <f t="shared" si="45"/>
        <v>107.10000000000001</v>
      </c>
      <c r="FP22" s="471">
        <f t="shared" si="45"/>
        <v>215.5</v>
      </c>
      <c r="FQ22" s="295">
        <f t="shared" si="20"/>
        <v>0.49887788221777329</v>
      </c>
      <c r="FR22" s="54">
        <f t="shared" si="21"/>
        <v>9.1671169654934594</v>
      </c>
      <c r="FS22">
        <f t="shared" si="22"/>
        <v>7.2125583368689021</v>
      </c>
    </row>
    <row r="23" spans="2:175" ht="177" customHeight="1">
      <c r="B23" s="5" t="s">
        <v>773</v>
      </c>
      <c r="C23" s="5" t="s">
        <v>287</v>
      </c>
      <c r="D23" s="5" t="s">
        <v>224</v>
      </c>
      <c r="E23" s="80">
        <v>7</v>
      </c>
      <c r="F23" s="123" t="str">
        <f t="shared" si="47"/>
        <v>○
[P・Q]
○・○</v>
      </c>
      <c r="G23" s="123" t="str">
        <f t="shared" si="1"/>
        <v>○
[P・Q]
○・○</v>
      </c>
      <c r="H23" s="123" t="str">
        <f t="shared" si="2"/>
        <v>○
[P・Q]
○・○</v>
      </c>
      <c r="I23" s="123" t="str">
        <f t="shared" si="51"/>
        <v>○
[P・Q]
○・○</v>
      </c>
      <c r="J23" s="123" t="str">
        <f t="shared" si="4"/>
        <v>×
[P・Q]
○・×</v>
      </c>
      <c r="K23" s="123" t="str">
        <f t="shared" si="49"/>
        <v>○
[P・Q]
○・○</v>
      </c>
      <c r="L23" s="123" t="str">
        <f>IF($E23&lt;L$9,"",IF(AND(DG23&gt;0.6,DJ23&lt;=8,DK23=DL23),"○","×")&amp;CHAR(10)&amp;"[P・Q]"&amp;CHAR(10)&amp;IF(DG23="","--",IF(DG23&gt;0.6,"○","×"))&amp;IF(DJ23="","・--",IF(DJ23&lt;=8,"・○","・×")))</f>
        <v>×
[P・Q]
○・×</v>
      </c>
      <c r="M23" s="123" t="str">
        <f t="shared" si="6"/>
        <v/>
      </c>
      <c r="N23" s="123" t="str">
        <f t="shared" si="52"/>
        <v/>
      </c>
      <c r="O23" s="123" t="str">
        <f t="shared" si="8"/>
        <v/>
      </c>
      <c r="P23" s="123" t="str">
        <f t="shared" si="9"/>
        <v/>
      </c>
      <c r="Q23" s="123" t="str">
        <f t="shared" si="10"/>
        <v/>
      </c>
      <c r="R23" s="511">
        <f t="shared" si="11"/>
        <v>1</v>
      </c>
      <c r="S23" s="80">
        <v>5</v>
      </c>
      <c r="T23" s="80">
        <v>5</v>
      </c>
      <c r="U23" s="80">
        <v>5</v>
      </c>
      <c r="V23" s="80">
        <v>5</v>
      </c>
      <c r="W23" s="123">
        <f t="shared" si="12"/>
        <v>37.5</v>
      </c>
      <c r="X23" s="123">
        <f t="shared" si="13"/>
        <v>26.785714285714285</v>
      </c>
      <c r="Y23" s="123" cm="1">
        <f t="array" ref="Y23">_xlfn.IFS(R23&gt;=0.8,5,R23&gt;=0.6,3,R23&gt;=0.2,1,R23&lt;0.2,0)</f>
        <v>5</v>
      </c>
      <c r="Z23" s="512">
        <f t="shared" si="48"/>
        <v>89.285714285714278</v>
      </c>
      <c r="AA23" s="601" t="s">
        <v>774</v>
      </c>
      <c r="AB23" s="5" t="s">
        <v>690</v>
      </c>
      <c r="AC23" s="80" t="s">
        <v>226</v>
      </c>
      <c r="AD23" s="5" t="s">
        <v>775</v>
      </c>
      <c r="AE23" s="5"/>
      <c r="AF23" s="5" t="s">
        <v>776</v>
      </c>
      <c r="AG23" s="5"/>
      <c r="AH23" s="201">
        <f t="shared" si="23"/>
        <v>0.88742476408772297</v>
      </c>
      <c r="AI23" s="202">
        <f t="shared" si="24"/>
        <v>4.4016285411537366</v>
      </c>
      <c r="AJ23" s="80" t="str">
        <f t="shared" si="14"/>
        <v>HIGH</v>
      </c>
      <c r="AK23" s="80" t="str">
        <f t="shared" si="15"/>
        <v>HIGH</v>
      </c>
      <c r="AL23" s="319" t="s">
        <v>777</v>
      </c>
      <c r="AM23" s="5" t="s">
        <v>778</v>
      </c>
      <c r="AN23" s="126" t="str">
        <f>IF(AND(Z23&gt;Summary!$C$5, Z23&lt;=Summary!$D$5),Summary!$B$5,IF(AND(Z23&gt;Summary!$C$6, Z23&lt;=Summary!$D$6),Summary!$B$6,IF(AND(Z23&gt;Summary!$C$7, Z23&lt;=Summary!$D$7),Summary!$B$7,Summary!$B$8)))</f>
        <v>◎</v>
      </c>
      <c r="AO23" s="126" t="s">
        <v>389</v>
      </c>
      <c r="AP23" s="126"/>
      <c r="AQ23" s="126"/>
      <c r="AR23" s="126"/>
      <c r="AS23" s="126" t="s">
        <v>168</v>
      </c>
      <c r="AT23" s="342" t="s">
        <v>779</v>
      </c>
      <c r="AU23" s="80" t="str">
        <f>$AU$1&amp;" "&amp;VLOOKUP(B23,'[1]Productivity-MH'!$B:$C,2,FALSE)</f>
        <v>Hiroshima N203C70G</v>
      </c>
      <c r="AV23" s="4" t="s">
        <v>168</v>
      </c>
      <c r="AW23" s="6">
        <f>IF(AV23="○",VLOOKUP(B23,'[1]Productivity-MH'!$B:$J,9,FALSE)," ")</f>
        <v>22.700000000000003</v>
      </c>
      <c r="AX23" s="6">
        <f>IF(AV23="○",VLOOKUP(B23,'[1]Productivity-MH'!$B:$H,7,FALSE)," ")</f>
        <v>29</v>
      </c>
      <c r="AY23" s="33">
        <f t="shared" si="16"/>
        <v>0.78275862068965529</v>
      </c>
      <c r="AZ23" s="42">
        <f>IF(AV23="○",VLOOKUP(B23,'[1]Productivity-MH'!$B:$K,10,FALSE)," ")</f>
        <v>0.86</v>
      </c>
      <c r="BA23" s="3">
        <f>IF(AV23="○",VLOOKUP(B23,'[1]Productivity-MH'!$B:$L,11,FALSE)," ")</f>
        <v>3</v>
      </c>
      <c r="BB23" s="37">
        <f t="shared" si="17"/>
        <v>3.4883720930232558</v>
      </c>
      <c r="BC23" s="3">
        <v>3</v>
      </c>
      <c r="BD23" s="3">
        <v>3</v>
      </c>
      <c r="BE23" s="80" t="str">
        <f>$AU$1&amp;" "&amp;VLOOKUP(B23,'[1]Productivity-MH'!$B:$M,12,FALSE)</f>
        <v>Hiroshima N203C71G</v>
      </c>
      <c r="BF23" s="4" t="s">
        <v>168</v>
      </c>
      <c r="BG23" s="6">
        <f>IF(BF23="○",VLOOKUP(B23,'[1]Productivity-MH'!$B:$T,19,FALSE),"")</f>
        <v>16.100000000000001</v>
      </c>
      <c r="BH23" s="6">
        <f>IF(BF23="○",VLOOKUP(B23,'[1]Productivity-MH'!$B:$R,17,FALSE),"")</f>
        <v>15.5</v>
      </c>
      <c r="BI23" s="33">
        <f t="shared" si="18"/>
        <v>1.0387096774193549</v>
      </c>
      <c r="BJ23" s="42">
        <f>IF(BF23="○",VLOOKUP(B23,'[1]Productivity-MH'!$B:$U,20,FALSE),"")</f>
        <v>1.0389999999999999</v>
      </c>
      <c r="BK23" s="3">
        <f>IF(BF23="○",VLOOKUP(B23,'[1]Productivity-MH'!$B:$V,21,FALSE),"")</f>
        <v>4</v>
      </c>
      <c r="BL23" s="37">
        <f t="shared" si="19"/>
        <v>3.8498556304138596</v>
      </c>
      <c r="BM23" s="3">
        <v>4</v>
      </c>
      <c r="BN23" s="3">
        <v>4</v>
      </c>
      <c r="BO23" s="80" t="str">
        <f>$AU$1&amp;" "&amp;VLOOKUP(B23,'[1]Productivity-MH'!$B:$W,22,FALSE)</f>
        <v>Hiroshima N203C72G</v>
      </c>
      <c r="BP23" s="4" t="s">
        <v>168</v>
      </c>
      <c r="BQ23" s="6">
        <f>IF(BP23="○",VLOOKUP(B23,'[1]Productivity-MH'!$B:$AD,29,FALSE),"")</f>
        <v>22.8</v>
      </c>
      <c r="BR23" s="6">
        <f>IF(BP23="○",VLOOKUP(B23,'[1]Productivity-MH'!$B:$AB,27,FALSE),"")</f>
        <v>19</v>
      </c>
      <c r="BS23" s="33">
        <f t="shared" si="25"/>
        <v>1.2</v>
      </c>
      <c r="BT23" s="42">
        <f>IF(BP23="○",VLOOKUP(B23,'[1]Productivity-MH'!$B:$AE,30,FALSE),"")</f>
        <v>2.2000000000000002</v>
      </c>
      <c r="BU23" s="3">
        <v>2</v>
      </c>
      <c r="BV23" s="37">
        <f t="shared" si="26"/>
        <v>0.90909090909090906</v>
      </c>
      <c r="BW23" s="3">
        <v>2</v>
      </c>
      <c r="BX23" s="3">
        <v>2</v>
      </c>
      <c r="BY23" s="80" t="str">
        <f>$AU$1&amp;" "&amp;VLOOKUP(B23,'[1]Productivity-MH'!$B:$AG,32,FALSE)</f>
        <v>Hiroshima N203C73G</v>
      </c>
      <c r="BZ23" s="4" t="s">
        <v>168</v>
      </c>
      <c r="CA23" s="6">
        <f>IF(BZ23="○",VLOOKUP(B23,'[1]Productivity-MH'!$B:$AN,39,FALSE),"")</f>
        <v>22.8</v>
      </c>
      <c r="CB23" s="6">
        <f>IF(BZ23="○",VLOOKUP(B23,'[1]Productivity-MH'!$B:$AL,37,FALSE),"")</f>
        <v>20</v>
      </c>
      <c r="CC23" s="33">
        <f t="shared" si="27"/>
        <v>1.1400000000000001</v>
      </c>
      <c r="CD23" s="42">
        <f>IF(BZ23="○",VLOOKUP(B23,'[1]Productivity-MH'!$B:$AO,40,FALSE),"")</f>
        <v>1.7</v>
      </c>
      <c r="CE23" s="3">
        <f>IF(BZ23="○",VLOOKUP(B23,'[1]Productivity-MH'!$B:$AP,41,FALSE),"")</f>
        <v>0</v>
      </c>
      <c r="CF23" s="37">
        <f t="shared" si="28"/>
        <v>0</v>
      </c>
      <c r="CG23" s="3"/>
      <c r="CH23" s="3"/>
      <c r="CI23" s="80" t="str">
        <f>$AU$1&amp;" "&amp;VLOOKUP(B23,'[1]Productivity-MH'!$B:$AQ,42,FALSE)</f>
        <v>Hiroshima RJ03160G</v>
      </c>
      <c r="CJ23" s="4" t="s">
        <v>168</v>
      </c>
      <c r="CK23" s="6">
        <f>IF(CJ23="○",VLOOKUP(B23,'[1]Productivity-MH'!$B:$AX,49,FALSE),"")</f>
        <v>10.6</v>
      </c>
      <c r="CL23" s="6">
        <f>IF(CJ23="○",VLOOKUP(B23,'[1]Productivity-MH'!$B:$AV,47,FALSE),"")</f>
        <v>16.5</v>
      </c>
      <c r="CM23" s="33">
        <f t="shared" si="29"/>
        <v>0.64242424242424245</v>
      </c>
      <c r="CN23" s="42">
        <f>IF(CJ23="○",VLOOKUP(B23,'[1]Productivity-MH'!$B:$AY,50,FALSE),"")</f>
        <v>0.23599999999999999</v>
      </c>
      <c r="CO23" s="3">
        <f>IF(CJ23="○",VLOOKUP(B23,'[1]Productivity-MH'!$B:$AZ,51,FALSE),"")</f>
        <v>3</v>
      </c>
      <c r="CP23" s="37">
        <f t="shared" si="30"/>
        <v>12.711864406779661</v>
      </c>
      <c r="CQ23" s="3">
        <v>3</v>
      </c>
      <c r="CR23" s="3">
        <v>3</v>
      </c>
      <c r="CS23" s="80" t="str">
        <f>$AU$1&amp;" "&amp;VLOOKUP(B23,'[1]Productivity-MH'!$B:$BA,52,FALSE)</f>
        <v>Hiroshima RJ03170G</v>
      </c>
      <c r="CT23" s="4" t="s">
        <v>168</v>
      </c>
      <c r="CU23" s="6">
        <f>IF(CT23="○",VLOOKUP(B23,'[1]Productivity-MH'!$B:$BH,59,FALSE),"")</f>
        <v>10.5</v>
      </c>
      <c r="CV23" s="6">
        <f>IF(CT23="○",VLOOKUP(B23,'[1]Productivity-MH'!$B:$BF,57,FALSE),"")</f>
        <v>13.5</v>
      </c>
      <c r="CW23" s="33">
        <f t="shared" si="31"/>
        <v>0.77777777777777779</v>
      </c>
      <c r="CX23" s="42">
        <f>IF(CT23="○",VLOOKUP(B23,'[1]Productivity-MH'!$B:$BI,60,FALSE),"")</f>
        <v>0.19800000000000001</v>
      </c>
      <c r="CY23" s="3">
        <f>IF(CT23="○",VLOOKUP(B23,'[1]Productivity-MH'!$B:$BJ,61,FALSE),"")</f>
        <v>0</v>
      </c>
      <c r="CZ23" s="37">
        <f t="shared" si="32"/>
        <v>0</v>
      </c>
      <c r="DA23" s="3">
        <v>0</v>
      </c>
      <c r="DB23" s="3">
        <v>0</v>
      </c>
      <c r="DC23" s="36" t="str">
        <f>$AU$1&amp;" "&amp;VLOOKUP(B23,'[1]Productivity-MH'!$B:$BK,62,FALSE)</f>
        <v>Hiroshima RJ83410G</v>
      </c>
      <c r="DD23" s="4" t="s">
        <v>168</v>
      </c>
      <c r="DE23" s="6">
        <f>IF(DD23="○",VLOOKUP(B23,'[1]Productivity-MH'!$B:$BR,69,FALSE),"")</f>
        <v>10.4</v>
      </c>
      <c r="DF23" s="6">
        <f>IF(DD23="○",VLOOKUP(B23,'[1]Productivity-MH'!$B:$BP,67,FALSE),"")</f>
        <v>16.5</v>
      </c>
      <c r="DG23" s="33">
        <f t="shared" si="33"/>
        <v>0.63030303030303036</v>
      </c>
      <c r="DH23" s="42">
        <f>IF(DD23="○",VLOOKUP(B23,'[1]Productivity-MH'!$B:$BS,70,FALSE),"")</f>
        <v>0.20300000000000001</v>
      </c>
      <c r="DI23" s="3">
        <f>IF(DD23="○",VLOOKUP(B23,'[1]Productivity-MH'!$B:$BT,71,FALSE),"")</f>
        <v>2</v>
      </c>
      <c r="DJ23" s="37">
        <f t="shared" si="34"/>
        <v>9.8522167487684715</v>
      </c>
      <c r="DK23" s="3">
        <v>2</v>
      </c>
      <c r="DL23" s="3">
        <v>2</v>
      </c>
      <c r="DM23" s="400"/>
      <c r="DN23" s="145"/>
      <c r="DO23" s="146"/>
      <c r="DP23" s="146"/>
      <c r="DQ23" s="147"/>
      <c r="DR23" s="148"/>
      <c r="DS23" s="149"/>
      <c r="DT23" s="148"/>
      <c r="DU23" s="149"/>
      <c r="DV23" s="149"/>
      <c r="DW23" s="145"/>
      <c r="DX23" s="145"/>
      <c r="DY23" s="392"/>
      <c r="DZ23" s="392"/>
      <c r="EA23" s="393"/>
      <c r="EB23" s="394"/>
      <c r="EC23" s="395"/>
      <c r="ED23" s="394"/>
      <c r="EE23" s="395"/>
      <c r="EF23" s="395"/>
      <c r="EG23" s="391"/>
      <c r="EH23" s="391"/>
      <c r="EI23" s="392"/>
      <c r="EJ23" s="392"/>
      <c r="EK23" s="393"/>
      <c r="EL23" s="394"/>
      <c r="EM23" s="395"/>
      <c r="EN23" s="394"/>
      <c r="EO23" s="395"/>
      <c r="EP23" s="395"/>
      <c r="EQ23" s="391"/>
      <c r="ER23" s="391"/>
      <c r="ES23" s="392"/>
      <c r="ET23" s="392"/>
      <c r="EU23" s="393"/>
      <c r="EV23" s="394"/>
      <c r="EW23" s="395"/>
      <c r="EX23" s="394"/>
      <c r="EY23" s="395"/>
      <c r="EZ23" s="395"/>
      <c r="FA23" s="391"/>
      <c r="FB23" s="391"/>
      <c r="FC23" s="392"/>
      <c r="FD23" s="392"/>
      <c r="FE23" s="393"/>
      <c r="FF23" s="394"/>
      <c r="FG23" s="395"/>
      <c r="FH23" s="394"/>
      <c r="FI23" s="395"/>
      <c r="FJ23" s="395"/>
      <c r="FM23" s="54">
        <f t="shared" si="46"/>
        <v>6.4359999999999999</v>
      </c>
      <c r="FN23" s="54">
        <f t="shared" si="46"/>
        <v>14</v>
      </c>
      <c r="FO23" s="471">
        <f t="shared" si="45"/>
        <v>115.89999999999999</v>
      </c>
      <c r="FP23" s="471">
        <f t="shared" si="45"/>
        <v>130</v>
      </c>
      <c r="FQ23" s="295">
        <f t="shared" si="20"/>
        <v>0.88742476408772297</v>
      </c>
      <c r="FR23" s="54">
        <f t="shared" si="21"/>
        <v>4.4016285411537366</v>
      </c>
      <c r="FS23">
        <f t="shared" si="22"/>
        <v>2.175264139216905</v>
      </c>
    </row>
    <row r="24" spans="2:175" ht="107.85" customHeight="1">
      <c r="B24" s="5" t="s">
        <v>780</v>
      </c>
      <c r="C24" s="5" t="s">
        <v>223</v>
      </c>
      <c r="D24" s="5" t="s">
        <v>313</v>
      </c>
      <c r="E24" s="80">
        <v>6</v>
      </c>
      <c r="F24" s="123" t="str">
        <f t="shared" si="47"/>
        <v>×
[P・Q]
○・×</v>
      </c>
      <c r="G24" s="123" t="str">
        <f t="shared" si="1"/>
        <v>×
[P・Q]
--・--</v>
      </c>
      <c r="H24" s="123" t="str">
        <f t="shared" si="2"/>
        <v>×
[P・Q]
--・--</v>
      </c>
      <c r="I24" s="123" t="str">
        <f t="shared" si="51"/>
        <v>×
[P・Q]
--・--</v>
      </c>
      <c r="J24" s="123" t="str">
        <f t="shared" si="4"/>
        <v>×
[P・Q]
--・--</v>
      </c>
      <c r="K24" s="123" t="str">
        <f t="shared" si="49"/>
        <v>×
[P・Q]
--・--</v>
      </c>
      <c r="L24" s="131"/>
      <c r="M24" s="131"/>
      <c r="N24" s="123" t="str">
        <f t="shared" si="52"/>
        <v/>
      </c>
      <c r="O24" s="123" t="str">
        <f t="shared" si="8"/>
        <v/>
      </c>
      <c r="P24" s="123" t="str">
        <f t="shared" si="9"/>
        <v/>
      </c>
      <c r="Q24" s="123" t="str">
        <f t="shared" si="10"/>
        <v/>
      </c>
      <c r="R24" s="511">
        <f t="shared" si="11"/>
        <v>0</v>
      </c>
      <c r="S24" s="36">
        <v>5</v>
      </c>
      <c r="T24" s="36">
        <v>3</v>
      </c>
      <c r="U24" s="36">
        <v>3</v>
      </c>
      <c r="V24" s="5">
        <v>1</v>
      </c>
      <c r="W24" s="513">
        <f t="shared" si="12"/>
        <v>0</v>
      </c>
      <c r="X24" s="513">
        <f t="shared" si="13"/>
        <v>0</v>
      </c>
      <c r="Y24" s="513" cm="1">
        <f t="array" ref="Y24">_xlfn.IFS(R24&gt;=0.8,5,R24&gt;=0.6,3,R24&gt;=0.2,1,R24&lt;0.2,0)</f>
        <v>0</v>
      </c>
      <c r="Z24" s="512">
        <f t="shared" si="48"/>
        <v>12</v>
      </c>
      <c r="AA24" s="5" t="s">
        <v>781</v>
      </c>
      <c r="AB24" s="5" t="s">
        <v>782</v>
      </c>
      <c r="AC24" s="5"/>
      <c r="AD24" s="5"/>
      <c r="AE24" s="5"/>
      <c r="AF24" s="5"/>
      <c r="AG24" s="5"/>
      <c r="AH24" s="201" t="str">
        <f t="shared" si="23"/>
        <v xml:space="preserve"> </v>
      </c>
      <c r="AI24" s="202" t="str">
        <f t="shared" si="24"/>
        <v xml:space="preserve"> </v>
      </c>
      <c r="AJ24" s="80" t="str">
        <f t="shared" si="14"/>
        <v>HIGH</v>
      </c>
      <c r="AK24" s="80" t="str">
        <f t="shared" si="15"/>
        <v>LOW</v>
      </c>
      <c r="AL24" s="5"/>
      <c r="AM24" s="5"/>
      <c r="AN24" s="126" t="str">
        <f>IF(AND(Z24&gt;Summary!$C$5, Z24&lt;=Summary!$D$5),Summary!$B$5,IF(AND(Z24&gt;Summary!$C$6, Z24&lt;=Summary!$D$6),Summary!$B$6,IF(AND(Z24&gt;Summary!$C$7, Z24&lt;=Summary!$D$7),Summary!$B$7,Summary!$B$8)))</f>
        <v>×</v>
      </c>
      <c r="AO24" s="126" t="s">
        <v>178</v>
      </c>
      <c r="AP24" s="126" t="s">
        <v>168</v>
      </c>
      <c r="AQ24" s="126"/>
      <c r="AR24" s="126"/>
      <c r="AS24" s="126"/>
      <c r="AT24" s="29" t="s">
        <v>783</v>
      </c>
      <c r="AU24" s="80" t="str">
        <f>$AU$1&amp;" "&amp;VLOOKUP(B24,'[1]Productivity-MH'!$B:$C,2,FALSE)</f>
        <v>Hiroshima RJ02430G</v>
      </c>
      <c r="AV24" s="4" t="s">
        <v>178</v>
      </c>
      <c r="AW24" s="6" t="str">
        <f>IF(AV24="○",VLOOKUP(B24,'[1]Productivity-MH'!$B:$J,9,FALSE)," ")</f>
        <v xml:space="preserve"> </v>
      </c>
      <c r="AX24" s="6" t="str">
        <f>IF(AV24="○",VLOOKUP(B24,'[1]Productivity-MH'!$B:$H,7,FALSE)," ")</f>
        <v xml:space="preserve"> </v>
      </c>
      <c r="AY24" s="33" t="str">
        <f t="shared" si="16"/>
        <v xml:space="preserve"> </v>
      </c>
      <c r="AZ24" s="42" t="str">
        <f>IF(AV24="○",VLOOKUP(B24,'[1]Productivity-MH'!$B:$K,10,FALSE)," ")</f>
        <v xml:space="preserve"> </v>
      </c>
      <c r="BA24" s="3" t="str">
        <f>IF(AV24="○",VLOOKUP(B24,'[1]Productivity-MH'!$B:$L,11,FALSE)," ")</f>
        <v xml:space="preserve"> </v>
      </c>
      <c r="BB24" s="37" t="str">
        <f t="shared" si="17"/>
        <v xml:space="preserve"> </v>
      </c>
      <c r="BC24" s="3">
        <v>2</v>
      </c>
      <c r="BD24" s="3">
        <v>2</v>
      </c>
      <c r="BE24" s="80" t="str">
        <f>$AU$1&amp;" "&amp;VLOOKUP(B24,'[1]Productivity-MH'!$B:$M,12,FALSE)</f>
        <v>Hiroshima RJ07020G</v>
      </c>
      <c r="BF24" s="4"/>
      <c r="BG24" s="6" t="str">
        <f>IF(BF24="○",VLOOKUP(B24,'[1]Productivity-MH'!$B:$T,19,FALSE),"")</f>
        <v/>
      </c>
      <c r="BH24" s="6" t="str">
        <f>IF(BF24="○",VLOOKUP(B24,'[1]Productivity-MH'!$B:$R,17,FALSE),"")</f>
        <v/>
      </c>
      <c r="BI24" s="33" t="str">
        <f t="shared" si="18"/>
        <v/>
      </c>
      <c r="BJ24" s="42" t="str">
        <f>IF(BF24="○",VLOOKUP(B24,'[1]Productivity-MH'!$B:$U,20,FALSE),"")</f>
        <v/>
      </c>
      <c r="BK24" s="3" t="str">
        <f>IF(BF24="○",VLOOKUP(B24,'[1]Productivity-MH'!$B:$V,21,FALSE),"")</f>
        <v/>
      </c>
      <c r="BL24" s="37" t="str">
        <f t="shared" si="19"/>
        <v/>
      </c>
      <c r="BM24" s="3"/>
      <c r="BN24" s="3"/>
      <c r="BO24" s="80" t="str">
        <f>$AU$1&amp;" "&amp;VLOOKUP(B24,'[1]Productivity-MH'!$B:$W,22,FALSE)</f>
        <v>Hiroshima N203A20G</v>
      </c>
      <c r="BP24" s="4"/>
      <c r="BQ24" s="6" t="str">
        <f>IF(BP24="○",VLOOKUP(B24,'[1]Productivity-MH'!$B:$AD,29,FALSE),"")</f>
        <v/>
      </c>
      <c r="BR24" s="6" t="str">
        <f>IF(BP24="○",VLOOKUP(B24,'[1]Productivity-MH'!$B:$AB,27,FALSE),"")</f>
        <v/>
      </c>
      <c r="BS24" s="33" t="str">
        <f t="shared" si="25"/>
        <v/>
      </c>
      <c r="BT24" s="42" t="str">
        <f>IF(BP24="○",VLOOKUP(B24,'[1]Productivity-MH'!$B:$AE,30,FALSE),"")</f>
        <v/>
      </c>
      <c r="BU24" s="3" t="str">
        <f>IF(BP24="○",VLOOKUP(B24,'[1]Productivity-MH'!$B:$AF,31,FALSE),"")</f>
        <v/>
      </c>
      <c r="BV24" s="37" t="str">
        <f t="shared" si="26"/>
        <v/>
      </c>
      <c r="BW24" s="3"/>
      <c r="BX24" s="3"/>
      <c r="BY24" s="80" t="str">
        <f>$AU$1&amp;" "&amp;VLOOKUP(B24,'[1]Productivity-MH'!$B:$AG,32,FALSE)</f>
        <v>Hiroshima N205580G</v>
      </c>
      <c r="BZ24" s="4"/>
      <c r="CA24" s="6" t="str">
        <f>IF(BZ24="○",VLOOKUP(B24,'[1]Productivity-MH'!$B:$AN,39,FALSE),"")</f>
        <v/>
      </c>
      <c r="CB24" s="6" t="str">
        <f>IF(BZ24="○",VLOOKUP(B24,'[1]Productivity-MH'!$B:$AL,37,FALSE),"")</f>
        <v/>
      </c>
      <c r="CC24" s="33" t="str">
        <f t="shared" si="27"/>
        <v/>
      </c>
      <c r="CD24" s="42" t="str">
        <f>IF(BZ24="○",VLOOKUP(B24,'[1]Productivity-MH'!$B:$AO,40,FALSE),"")</f>
        <v/>
      </c>
      <c r="CE24" s="3" t="str">
        <f>IF(BZ24="○",VLOOKUP(B24,'[1]Productivity-MH'!$B:$AP,41,FALSE),"")</f>
        <v/>
      </c>
      <c r="CF24" s="37" t="str">
        <f t="shared" si="28"/>
        <v/>
      </c>
      <c r="CG24" s="3"/>
      <c r="CH24" s="3"/>
      <c r="CI24" s="80" t="str">
        <f>$AU$1&amp;" "&amp;VLOOKUP(B24,'[1]Productivity-MH'!$B:$AQ,42,FALSE)</f>
        <v>Hiroshima N205580G</v>
      </c>
      <c r="CJ24" s="4"/>
      <c r="CK24" s="6" t="str">
        <f>IF(CJ24="○",VLOOKUP(B24,'[1]Productivity-MH'!$B:$AX,49,FALSE),"")</f>
        <v/>
      </c>
      <c r="CL24" s="6" t="str">
        <f>IF(CJ24="○",VLOOKUP(B24,'[1]Productivity-MH'!$B:$AV,47,FALSE),"")</f>
        <v/>
      </c>
      <c r="CM24" s="33" t="str">
        <f t="shared" si="29"/>
        <v/>
      </c>
      <c r="CN24" s="42" t="str">
        <f>IF(CJ24="○",VLOOKUP(B24,'[1]Productivity-MH'!$B:$AY,50,FALSE),"")</f>
        <v/>
      </c>
      <c r="CO24" s="3" t="str">
        <f>IF(CJ24="○",VLOOKUP(B24,'[1]Productivity-MH'!$B:$AZ,51,FALSE),"")</f>
        <v/>
      </c>
      <c r="CP24" s="37" t="str">
        <f t="shared" si="30"/>
        <v/>
      </c>
      <c r="CQ24" s="3"/>
      <c r="CR24" s="3"/>
      <c r="CS24" s="80" t="str">
        <f>$AU$1&amp;" "&amp;VLOOKUP(B24,'[1]Productivity-MH'!$B:$BA,52,FALSE)</f>
        <v>Hiroshima N2J1020G</v>
      </c>
      <c r="CT24" s="4"/>
      <c r="CU24" s="6" t="str">
        <f>IF(CT24="○",VLOOKUP(B24,'[1]Productivity-MH'!$B:$BH,59,FALSE),"")</f>
        <v/>
      </c>
      <c r="CV24" s="6" t="str">
        <f>IF(CT24="○",VLOOKUP(B24,'[1]Productivity-MH'!$B:$BF,57,FALSE),"")</f>
        <v/>
      </c>
      <c r="CW24" s="33" t="str">
        <f t="shared" si="31"/>
        <v/>
      </c>
      <c r="CX24" s="42" t="str">
        <f>IF(CT24="○",VLOOKUP(B24,'[1]Productivity-MH'!$B:$BI,60,FALSE),"")</f>
        <v/>
      </c>
      <c r="CY24" s="3" t="str">
        <f>IF(CT24="○",VLOOKUP(B24,'[1]Productivity-MH'!$B:$BJ,61,FALSE),"")</f>
        <v/>
      </c>
      <c r="CZ24" s="37" t="str">
        <f t="shared" si="32"/>
        <v/>
      </c>
      <c r="DA24" s="3"/>
      <c r="DB24" s="3"/>
      <c r="DC24" s="36" t="str">
        <f>$AU$1&amp;" "&amp;VLOOKUP(B24,'[1]Productivity-MH'!$B:$BK,62,FALSE)</f>
        <v>Hiroshima RJ83420G</v>
      </c>
      <c r="DD24" s="4"/>
      <c r="DE24" s="6" t="str">
        <f>IF(DD24="○",VLOOKUP(B24,'[1]Productivity-MH'!$B:$BR,69,FALSE),"")</f>
        <v/>
      </c>
      <c r="DF24" s="6" t="str">
        <f>IF(DD24="○",VLOOKUP(B24,'[1]Productivity-MH'!$B:$BP,67,FALSE),"")</f>
        <v/>
      </c>
      <c r="DG24" s="33" t="str">
        <f t="shared" si="33"/>
        <v/>
      </c>
      <c r="DH24" s="42" t="str">
        <f>IF(DD24="○",VLOOKUP(B24,'[1]Productivity-MH'!$B:$BS,70,FALSE),"")</f>
        <v/>
      </c>
      <c r="DI24" s="3" t="str">
        <f>IF(DD24="○",VLOOKUP(B24,'[1]Productivity-MH'!$B:$BT,71,FALSE),"")</f>
        <v/>
      </c>
      <c r="DJ24" s="37" t="str">
        <f t="shared" si="34"/>
        <v/>
      </c>
      <c r="DK24" s="3"/>
      <c r="DL24" s="3"/>
      <c r="DM24" s="36" t="str">
        <f>VLOOKUP(B24,'[1]Productivity-MH'!$B:$BU,72,FALSE)</f>
        <v>N207230G</v>
      </c>
      <c r="DN24" s="4"/>
      <c r="DO24" s="6" t="str">
        <f>IF(DN24="○",VLOOKUP(B24,'[1]Productivity-MH'!$B:$BR,69,FALSE),"")</f>
        <v/>
      </c>
      <c r="DP24" s="6" t="str">
        <f>IF(DN24="○",VLOOKUP(B24,'[1]Productivity-MH'!$B:$BZ,77,FALSE),"")</f>
        <v/>
      </c>
      <c r="DQ24" s="33" t="str">
        <f t="shared" si="35"/>
        <v/>
      </c>
      <c r="DR24" s="42" t="str">
        <f>IF(DN24="○",VLOOKUP(L24,'[1]Productivity-MH'!$B:$CC,80,FALSE),"")</f>
        <v/>
      </c>
      <c r="DS24" s="3" t="str">
        <f>IF(DN24="○",VLOOKUP(L24,'[1]Productivity-MH'!$B:$CD,81,FALSE),"")</f>
        <v/>
      </c>
      <c r="DT24" s="37" t="str">
        <f t="shared" si="36"/>
        <v/>
      </c>
      <c r="DU24" s="3"/>
      <c r="DV24" s="3"/>
      <c r="DW24" s="391"/>
      <c r="DX24" s="391"/>
      <c r="DY24" s="392"/>
      <c r="DZ24" s="392"/>
      <c r="EA24" s="393"/>
      <c r="EB24" s="394"/>
      <c r="EC24" s="395"/>
      <c r="ED24" s="394"/>
      <c r="EE24" s="395"/>
      <c r="EF24" s="395"/>
      <c r="EG24" s="391"/>
      <c r="EH24" s="391"/>
      <c r="EI24" s="392"/>
      <c r="EJ24" s="392"/>
      <c r="EK24" s="393"/>
      <c r="EL24" s="394"/>
      <c r="EM24" s="395"/>
      <c r="EN24" s="394"/>
      <c r="EO24" s="395"/>
      <c r="EP24" s="395"/>
      <c r="EQ24" s="391"/>
      <c r="ER24" s="391"/>
      <c r="ES24" s="392"/>
      <c r="ET24" s="392"/>
      <c r="EU24" s="393"/>
      <c r="EV24" s="394"/>
      <c r="EW24" s="395"/>
      <c r="EX24" s="394"/>
      <c r="EY24" s="395"/>
      <c r="EZ24" s="395"/>
      <c r="FA24" s="391"/>
      <c r="FB24" s="391"/>
      <c r="FC24" s="392"/>
      <c r="FD24" s="392"/>
      <c r="FE24" s="393"/>
      <c r="FF24" s="394"/>
      <c r="FG24" s="395"/>
      <c r="FH24" s="394"/>
      <c r="FI24" s="395"/>
      <c r="FJ24" s="395"/>
      <c r="FM24" s="54"/>
      <c r="FN24" s="54"/>
      <c r="FO24" s="471"/>
      <c r="FP24" s="471"/>
      <c r="FQ24" s="295" t="str">
        <f t="shared" si="20"/>
        <v xml:space="preserve"> </v>
      </c>
      <c r="FR24" s="54" t="str">
        <f t="shared" si="21"/>
        <v xml:space="preserve"> </v>
      </c>
      <c r="FS24" t="e">
        <f t="shared" si="22"/>
        <v>#DIV/0!</v>
      </c>
    </row>
    <row r="25" spans="2:175" ht="175.9" customHeight="1">
      <c r="B25" s="29" t="s">
        <v>784</v>
      </c>
      <c r="C25" s="5" t="s">
        <v>223</v>
      </c>
      <c r="D25" s="5" t="s">
        <v>313</v>
      </c>
      <c r="E25" s="80">
        <v>5</v>
      </c>
      <c r="F25" s="123" t="str">
        <f t="shared" si="47"/>
        <v>×
[P・Q]
×・×</v>
      </c>
      <c r="G25" s="123" t="str">
        <f>IF($E25&lt;G$9,"",IF(AND(BI25&gt;0.6,BL25&lt;=8,BM25=BN25),"○","×")&amp;CHAR(10)&amp;"[P・Q]"&amp;CHAR(10)&amp;IF(BI25="","--",IF(BI25&gt;0.6,"○","×"))&amp;IF(BL25="","・--",IF(BL25&lt;=8,"・○","・×")))</f>
        <v>○
[P・Q]
○・○</v>
      </c>
      <c r="H25" s="123" t="str">
        <f t="shared" si="2"/>
        <v>×
[P・Q]
--・--</v>
      </c>
      <c r="I25" s="123" t="str">
        <f t="shared" si="51"/>
        <v>×
[P・Q]
--・--</v>
      </c>
      <c r="J25" s="123" t="str">
        <f t="shared" si="4"/>
        <v>×
[P・Q]
--・--</v>
      </c>
      <c r="K25" s="123" t="str">
        <f t="shared" si="49"/>
        <v/>
      </c>
      <c r="L25" s="123" t="str">
        <f t="shared" ref="L25:L31" si="53">IF($E25&lt;L$9,"",IF(AND(DG25&gt;0.6,DJ25&lt;=8,DK25=DL25),"○","×")&amp;CHAR(10)&amp;"[P・Q]"&amp;CHAR(10)&amp;IF(DG25="","--",IF(DG25&gt;0.6,"○","×"))&amp;IF(DJ25="","・--",IF(DJ25&lt;=8,"・○","・×")))</f>
        <v/>
      </c>
      <c r="M25" s="123" t="str">
        <f t="shared" ref="M25:M31" si="54">IF($E25&lt;M$9,"",IF(AND(DQ25&gt;0.6,DT25&lt;=8,DU25=DV25),"○","×")&amp;CHAR(10)&amp;"[P・Q]"&amp;CHAR(10)&amp;IF(DQ25="","--",IF(DQ25&gt;0.6,"○","×"))&amp;IF(DT25="","・--",IF(DT25&lt;=8,"・○","・×")))</f>
        <v/>
      </c>
      <c r="N25" s="123" t="str">
        <f t="shared" si="52"/>
        <v/>
      </c>
      <c r="O25" s="123" t="str">
        <f t="shared" si="8"/>
        <v/>
      </c>
      <c r="P25" s="123" t="str">
        <f t="shared" si="9"/>
        <v/>
      </c>
      <c r="Q25" s="123" t="str">
        <f t="shared" si="10"/>
        <v/>
      </c>
      <c r="R25" s="511">
        <f t="shared" si="11"/>
        <v>0.4</v>
      </c>
      <c r="S25" s="80">
        <v>3</v>
      </c>
      <c r="T25" s="80">
        <v>4</v>
      </c>
      <c r="U25" s="80">
        <v>4</v>
      </c>
      <c r="V25" s="80">
        <v>1</v>
      </c>
      <c r="W25" s="123">
        <f t="shared" si="12"/>
        <v>7.5</v>
      </c>
      <c r="X25" s="123">
        <f t="shared" si="13"/>
        <v>7.5</v>
      </c>
      <c r="Y25" s="123" cm="1">
        <f t="array" ref="Y25">_xlfn.IFS(R25&gt;=0.8,5,R25&gt;=0.6,3,R25&gt;=0.2,1,R25&lt;0.2,0)</f>
        <v>1</v>
      </c>
      <c r="Z25" s="512">
        <f t="shared" si="48"/>
        <v>28</v>
      </c>
      <c r="AA25" s="5" t="s">
        <v>785</v>
      </c>
      <c r="AB25" s="5" t="s">
        <v>786</v>
      </c>
      <c r="AC25" s="126" t="s">
        <v>174</v>
      </c>
      <c r="AD25" s="5" t="s">
        <v>787</v>
      </c>
      <c r="AE25" s="5"/>
      <c r="AF25" s="5" t="s">
        <v>788</v>
      </c>
      <c r="AG25" s="5"/>
      <c r="AH25" s="201">
        <f>IFERROR(AVERAGE(AY25,BI25,BS25,CC25,CM25,CW25,DG25,DQ25,EA25,EK25)," ")</f>
        <v>0.60180921052631575</v>
      </c>
      <c r="AI25" s="202">
        <f>IFERROR(AVERAGE(BB25,BL25,BV25,CF25,CP25,CZ25,DJ25,DT25,ED25,EN25)," ")</f>
        <v>16.949152542372882</v>
      </c>
      <c r="AJ25" s="80" t="str">
        <f>IFERROR(IF(AH25&gt;=0.6,"HIGH","LOW"),"")</f>
        <v>HIGH</v>
      </c>
      <c r="AK25" s="80" t="str">
        <f>IFERROR(IF(AI25&lt;=8,"HIGH","LOW"),"")</f>
        <v>LOW</v>
      </c>
      <c r="AL25" s="133" t="s">
        <v>789</v>
      </c>
      <c r="AM25" s="237" t="s">
        <v>790</v>
      </c>
      <c r="AN25" s="126" t="str">
        <f>IF(AND(Z25&gt;Summary!$C$5, Z25&lt;=Summary!$D$5),Summary!$B$5,IF(AND(Z25&gt;Summary!$C$6, Z25&lt;=Summary!$D$6),Summary!$B$6,IF(AND(Z25&gt;Summary!$C$7, Z25&lt;=Summary!$D$7),Summary!$B$7,Summary!$B$8)))</f>
        <v>×</v>
      </c>
      <c r="AO25" s="126" t="s">
        <v>174</v>
      </c>
      <c r="AP25" s="126"/>
      <c r="AQ25" s="126"/>
      <c r="AR25" s="126"/>
      <c r="AS25" s="126" t="s">
        <v>168</v>
      </c>
      <c r="AT25" s="237" t="s">
        <v>791</v>
      </c>
      <c r="AU25" s="80" t="str">
        <f>$AU$1&amp;" "&amp;VLOOKUP(B25,'[1]Productivity-MH'!$B:$C,2,FALSE)</f>
        <v>Hiroshima RJ02060G</v>
      </c>
      <c r="AV25" s="4" t="s">
        <v>168</v>
      </c>
      <c r="AW25" s="6">
        <f>IF(AV25="○",VLOOKUP(B25,'[1]Productivity-MH'!$B:$J,9,FALSE)," ")</f>
        <v>10.4</v>
      </c>
      <c r="AX25" s="6">
        <f>IF(AV25="○",VLOOKUP(B25,'[1]Productivity-MH'!$B:$H,7,FALSE)," ")</f>
        <v>19</v>
      </c>
      <c r="AY25" s="33">
        <f t="shared" si="16"/>
        <v>0.54736842105263162</v>
      </c>
      <c r="AZ25" s="42">
        <v>5.8999999999999997E-2</v>
      </c>
      <c r="BA25" s="3">
        <f>IF(AV25="○",VLOOKUP(B25,'[1]Productivity-MH'!$B:$L,11,FALSE)," ")</f>
        <v>2</v>
      </c>
      <c r="BB25" s="37">
        <f t="shared" si="17"/>
        <v>33.898305084745765</v>
      </c>
      <c r="BC25" s="3">
        <v>2</v>
      </c>
      <c r="BD25" s="3">
        <v>2</v>
      </c>
      <c r="BE25" s="80" t="str">
        <f>$AU$1&amp;" "&amp;VLOOKUP(B25,'[1]Productivity-MH'!$B:$M,12,FALSE)</f>
        <v>Hiroshima RJ06H30G</v>
      </c>
      <c r="BF25" s="4" t="s">
        <v>168</v>
      </c>
      <c r="BG25" s="6">
        <f>IF(BF25="○",VLOOKUP(B25,'[1]Productivity-MH'!$B:$T,19,FALSE),"")</f>
        <v>10.5</v>
      </c>
      <c r="BH25" s="6">
        <f>IF(BF25="○",VLOOKUP(B25,'[1]Productivity-MH'!$B:$R,17,FALSE),"")</f>
        <v>16</v>
      </c>
      <c r="BI25" s="33">
        <f t="shared" si="18"/>
        <v>0.65625</v>
      </c>
      <c r="BJ25" s="42">
        <f>IF(BF25="○",VLOOKUP(B25,'[1]Productivity-MH'!$B:$U,20,FALSE),"")</f>
        <v>0.122</v>
      </c>
      <c r="BK25" s="3">
        <f>IF(BF25="○",VLOOKUP(B25,'[1]Productivity-MH'!$B:$V,21,FALSE),"")</f>
        <v>0</v>
      </c>
      <c r="BL25" s="37">
        <f t="shared" si="19"/>
        <v>0</v>
      </c>
      <c r="BM25" s="3">
        <v>0</v>
      </c>
      <c r="BN25" s="3">
        <v>0</v>
      </c>
      <c r="BO25" s="80" t="str">
        <f>$AU$1&amp;" "&amp;VLOOKUP(B25,'[1]Productivity-MH'!$B:$W,22,FALSE)</f>
        <v>Hiroshima N203350G</v>
      </c>
      <c r="BP25" s="4"/>
      <c r="BQ25" s="6" t="str">
        <f>IF(BP25="○",VLOOKUP(B25,'[1]Productivity-MH'!$B:$AD,29,FALSE),"")</f>
        <v/>
      </c>
      <c r="BR25" s="6" t="str">
        <f>IF(BP25="○",VLOOKUP(B25,'[1]Productivity-MH'!$B:$AB,27,FALSE),"")</f>
        <v/>
      </c>
      <c r="BS25" s="33" t="str">
        <f t="shared" si="25"/>
        <v/>
      </c>
      <c r="BT25" s="42" t="str">
        <f>IF(BP25="○",VLOOKUP(B25,'[1]Productivity-MH'!$B:$AE,30,FALSE),"")</f>
        <v/>
      </c>
      <c r="BU25" s="3" t="str">
        <f>IF(BP25="○",VLOOKUP(B25,'[1]Productivity-MH'!$B:$AF,31,FALSE),"")</f>
        <v/>
      </c>
      <c r="BV25" s="37" t="str">
        <f t="shared" si="26"/>
        <v/>
      </c>
      <c r="BW25" s="3"/>
      <c r="BX25" s="3"/>
      <c r="BY25" s="80" t="str">
        <f>$AU$1&amp;" "&amp;VLOOKUP(B25,'[1]Productivity-MH'!$B:$AG,32,FALSE)</f>
        <v>Hiroshima N205150G</v>
      </c>
      <c r="BZ25" s="4"/>
      <c r="CA25" s="6"/>
      <c r="CB25" s="6" t="str">
        <f>IF(BZ25="○",VLOOKUP(B25,'[1]Productivity-MH'!$B:$AL,37,FALSE),"")</f>
        <v/>
      </c>
      <c r="CC25" s="33" t="str">
        <f t="shared" si="27"/>
        <v/>
      </c>
      <c r="CD25" s="42" t="str">
        <f>IF(BZ25="○",VLOOKUP(B25,'[1]Productivity-MH'!$B:$AO,40,FALSE),"")</f>
        <v/>
      </c>
      <c r="CE25" s="3" t="str">
        <f>IF(BZ25="○",VLOOKUP(B25,'[1]Productivity-MH'!$B:$AP,41,FALSE),"")</f>
        <v/>
      </c>
      <c r="CF25" s="37" t="str">
        <f t="shared" si="28"/>
        <v/>
      </c>
      <c r="CG25" s="3"/>
      <c r="CH25" s="3"/>
      <c r="CI25" s="80" t="str">
        <f>$AU$1&amp;" "&amp;VLOOKUP(B25,'[1]Productivity-MH'!$B:$AQ,42,FALSE)</f>
        <v>Hiroshima N240070G</v>
      </c>
      <c r="CJ25" s="4"/>
      <c r="CK25" s="6" t="str">
        <f>IF(CJ25="○",VLOOKUP(B25,'[1]Productivity-MH'!$B:$AX,49,FALSE),"")</f>
        <v/>
      </c>
      <c r="CL25" s="6" t="str">
        <f>IF(CJ25="○",VLOOKUP(B25,'[1]Productivity-MH'!$B:$AV,47,FALSE),"")</f>
        <v/>
      </c>
      <c r="CM25" s="33" t="str">
        <f t="shared" si="29"/>
        <v/>
      </c>
      <c r="CN25" s="42" t="str">
        <f>IF(CJ25="○",VLOOKUP(B25,'[1]Productivity-MH'!$B:$AY,50,FALSE),"")</f>
        <v/>
      </c>
      <c r="CO25" s="3" t="str">
        <f>IF(CJ25="○",VLOOKUP(B25,'[1]Productivity-MH'!$B:$AZ,51,FALSE),"")</f>
        <v/>
      </c>
      <c r="CP25" s="37" t="str">
        <f t="shared" si="30"/>
        <v/>
      </c>
      <c r="CQ25" s="3"/>
      <c r="CR25" s="3"/>
      <c r="CS25" s="232"/>
      <c r="CT25" s="145"/>
      <c r="CU25" s="146"/>
      <c r="CV25" s="146"/>
      <c r="CW25" s="147"/>
      <c r="CX25" s="148"/>
      <c r="CY25" s="149"/>
      <c r="CZ25" s="148"/>
      <c r="DA25" s="149"/>
      <c r="DB25" s="149"/>
      <c r="DC25" s="400"/>
      <c r="DD25" s="145"/>
      <c r="DE25" s="146"/>
      <c r="DF25" s="146"/>
      <c r="DG25" s="147"/>
      <c r="DH25" s="148"/>
      <c r="DI25" s="149"/>
      <c r="DJ25" s="148"/>
      <c r="DK25" s="149"/>
      <c r="DL25" s="149"/>
      <c r="DM25" s="400"/>
      <c r="DN25" s="145"/>
      <c r="DO25" s="146"/>
      <c r="DP25" s="146"/>
      <c r="DQ25" s="147"/>
      <c r="DR25" s="148"/>
      <c r="DS25" s="149"/>
      <c r="DT25" s="148"/>
      <c r="DU25" s="149"/>
      <c r="DV25" s="149"/>
      <c r="DW25" s="145"/>
      <c r="DX25" s="145"/>
      <c r="DY25" s="146"/>
      <c r="DZ25" s="146"/>
      <c r="EA25" s="147"/>
      <c r="EB25" s="148"/>
      <c r="EC25" s="149"/>
      <c r="ED25" s="148"/>
      <c r="EE25" s="149"/>
      <c r="EF25" s="149"/>
      <c r="EG25" s="145"/>
      <c r="EH25" s="145"/>
      <c r="EI25" s="146"/>
      <c r="EJ25" s="146"/>
      <c r="EK25" s="147"/>
      <c r="EL25" s="148"/>
      <c r="EM25" s="149"/>
      <c r="EN25" s="148"/>
      <c r="EO25" s="149"/>
      <c r="EP25" s="149"/>
      <c r="EQ25" s="145"/>
      <c r="ER25" s="145"/>
      <c r="ES25" s="146"/>
      <c r="ET25" s="146"/>
      <c r="EU25" s="147"/>
      <c r="EV25" s="148"/>
      <c r="EW25" s="149"/>
      <c r="EX25" s="148"/>
      <c r="EY25" s="149"/>
      <c r="EZ25" s="149"/>
      <c r="FA25" s="145"/>
      <c r="FB25" s="145"/>
      <c r="FC25" s="146"/>
      <c r="FD25" s="146"/>
      <c r="FE25" s="147"/>
      <c r="FF25" s="148"/>
      <c r="FG25" s="149"/>
      <c r="FH25" s="148"/>
      <c r="FI25" s="149"/>
      <c r="FJ25" s="149"/>
      <c r="FM25" s="54"/>
      <c r="FN25" s="54"/>
      <c r="FO25" s="471"/>
      <c r="FP25" s="471"/>
      <c r="FQ25" s="295">
        <f t="shared" si="20"/>
        <v>0.60180921052631575</v>
      </c>
      <c r="FR25" s="54">
        <f t="shared" si="21"/>
        <v>16.949152542372882</v>
      </c>
      <c r="FS25" t="e">
        <f t="shared" si="22"/>
        <v>#DIV/0!</v>
      </c>
    </row>
    <row r="26" spans="2:175" ht="107.85" customHeight="1">
      <c r="B26" s="29" t="s">
        <v>792</v>
      </c>
      <c r="C26" s="29" t="s">
        <v>223</v>
      </c>
      <c r="D26" s="29" t="s">
        <v>224</v>
      </c>
      <c r="E26" s="80">
        <v>6</v>
      </c>
      <c r="F26" s="123" t="str">
        <f t="shared" si="47"/>
        <v>×
[P・Q]
○・×</v>
      </c>
      <c r="G26" s="123" t="str">
        <f t="shared" si="1"/>
        <v>×
[P・Q]
--・--</v>
      </c>
      <c r="H26" s="123" t="str">
        <f t="shared" si="2"/>
        <v>×
[P・Q]
--・--</v>
      </c>
      <c r="I26" s="123" t="str">
        <f t="shared" si="51"/>
        <v>×
[P・Q]
--・--</v>
      </c>
      <c r="J26" s="123" t="str">
        <f t="shared" si="4"/>
        <v>×
[P・Q]
--・--</v>
      </c>
      <c r="K26" s="123" t="str">
        <f t="shared" si="49"/>
        <v>×
[P・Q]
--・--</v>
      </c>
      <c r="L26" s="131" t="str">
        <f t="shared" si="53"/>
        <v/>
      </c>
      <c r="M26" s="123" t="str">
        <f t="shared" si="54"/>
        <v/>
      </c>
      <c r="N26" s="123" t="str">
        <f t="shared" si="52"/>
        <v/>
      </c>
      <c r="O26" s="123" t="str">
        <f t="shared" si="8"/>
        <v/>
      </c>
      <c r="P26" s="123" t="str">
        <f t="shared" si="9"/>
        <v/>
      </c>
      <c r="Q26" s="123" t="str">
        <f t="shared" si="10"/>
        <v/>
      </c>
      <c r="R26" s="511">
        <f t="shared" si="11"/>
        <v>0</v>
      </c>
      <c r="S26" s="36">
        <v>2</v>
      </c>
      <c r="T26" s="36">
        <v>3</v>
      </c>
      <c r="U26" s="36">
        <v>2</v>
      </c>
      <c r="V26" s="80">
        <v>1</v>
      </c>
      <c r="W26" s="513">
        <f t="shared" si="12"/>
        <v>0</v>
      </c>
      <c r="X26" s="513">
        <f t="shared" si="13"/>
        <v>0</v>
      </c>
      <c r="Y26" s="513" cm="1">
        <f t="array" ref="Y26">_xlfn.IFS(R26&gt;=0.8,5,R26&gt;=0.6,3,R26&gt;=0.2,1,R26&lt;0.2,0)</f>
        <v>0</v>
      </c>
      <c r="Z26" s="512">
        <f>SUM(S26:Y26)</f>
        <v>8</v>
      </c>
      <c r="AA26" s="5" t="s">
        <v>793</v>
      </c>
      <c r="AB26" s="5" t="s">
        <v>794</v>
      </c>
      <c r="AC26" s="5"/>
      <c r="AD26" s="5"/>
      <c r="AE26" s="5"/>
      <c r="AF26" s="5"/>
      <c r="AG26" s="5"/>
      <c r="AH26" s="201" t="str">
        <f>IFERROR(AVERAGE(AY26,BI26,BS26,CC26,CM26,CW26,DG26,DQ26,EA26,EK26)," ")</f>
        <v xml:space="preserve"> </v>
      </c>
      <c r="AI26" s="202" t="str">
        <f>IFERROR(AVERAGE(BB26,BL26,BV26,CF26,CP26,CZ26,DJ26,DT26,ED26,EN26)," ")</f>
        <v xml:space="preserve"> </v>
      </c>
      <c r="AJ26" s="80" t="str">
        <f t="shared" si="14"/>
        <v>HIGH</v>
      </c>
      <c r="AK26" s="80" t="str">
        <f t="shared" si="15"/>
        <v>LOW</v>
      </c>
      <c r="AL26" s="5"/>
      <c r="AM26" s="5"/>
      <c r="AN26" s="126" t="str">
        <f>IF(AND(Z26&gt;Summary!$C$5, Z26&lt;=Summary!$D$5),Summary!$B$5,IF(AND(Z26&gt;Summary!$C$6, Z26&lt;=Summary!$D$6),Summary!$B$6,IF(AND(Z26&gt;Summary!$C$7, Z26&lt;=Summary!$D$7),Summary!$B$7,Summary!$B$8)))</f>
        <v>×</v>
      </c>
      <c r="AO26" s="126" t="s">
        <v>178</v>
      </c>
      <c r="AP26" s="126" t="s">
        <v>168</v>
      </c>
      <c r="AQ26" s="126"/>
      <c r="AR26" s="126"/>
      <c r="AS26" s="126"/>
      <c r="AT26" s="29" t="s">
        <v>795</v>
      </c>
      <c r="AU26" s="80" t="str">
        <f>$AU$1&amp;" "&amp;VLOOKUP(B26,'[1]Productivity-MH'!$B:$C,2,FALSE)</f>
        <v>Hiroshima RJJ1080G</v>
      </c>
      <c r="AV26" s="4" t="s">
        <v>178</v>
      </c>
      <c r="AW26" s="6" t="str">
        <f>IF(AV26="○",VLOOKUP(B26,'[1]Productivity-MH'!$B:$J,9,FALSE)," ")</f>
        <v xml:space="preserve"> </v>
      </c>
      <c r="AX26" s="6" t="str">
        <f>IF(AV26="○",VLOOKUP(B26,'[1]Productivity-MH'!$B:$H,7,FALSE)," ")</f>
        <v xml:space="preserve"> </v>
      </c>
      <c r="AY26" s="33" t="str">
        <f t="shared" si="16"/>
        <v xml:space="preserve"> </v>
      </c>
      <c r="AZ26" s="42" t="str">
        <f>IF(AV26="○",VLOOKUP(B26,'[1]Productivity-MH'!$B:$K,10,FALSE)," ")</f>
        <v xml:space="preserve"> </v>
      </c>
      <c r="BA26" s="3" t="str">
        <f>IF(AV26="○",VLOOKUP(B26,'[1]Productivity-MH'!$B:$L,11,FALSE)," ")</f>
        <v xml:space="preserve"> </v>
      </c>
      <c r="BB26" s="37" t="str">
        <f t="shared" si="17"/>
        <v xml:space="preserve"> </v>
      </c>
      <c r="BC26" s="3">
        <v>3</v>
      </c>
      <c r="BD26" s="3">
        <v>3</v>
      </c>
      <c r="BE26" s="80" t="str">
        <f>$AU$1&amp;" "&amp;VLOOKUP(B26,'[1]Productivity-MH'!$B:$M,12,FALSE)</f>
        <v>Hiroshima RJ06560G</v>
      </c>
      <c r="BF26" s="4" t="s">
        <v>178</v>
      </c>
      <c r="BG26" s="6" t="str">
        <f>IF(BF26="○",VLOOKUP(B26,'[1]Productivity-MH'!$B:$T,19,FALSE),"")</f>
        <v/>
      </c>
      <c r="BH26" s="6" t="str">
        <f>IF(BF26="○",VLOOKUP(B26,'[1]Productivity-MH'!$B:$R,17,FALSE),"")</f>
        <v/>
      </c>
      <c r="BI26" s="33" t="str">
        <f t="shared" si="18"/>
        <v/>
      </c>
      <c r="BJ26" s="42" t="str">
        <f>IF(BF26="○",VLOOKUP(B26,'[1]Productivity-MH'!$B:$U,20,FALSE),"")</f>
        <v/>
      </c>
      <c r="BK26" s="3" t="str">
        <f>IF(BF26="○",VLOOKUP(B26,'[1]Productivity-MH'!$B:$V,21,FALSE),"")</f>
        <v/>
      </c>
      <c r="BL26" s="37" t="str">
        <f t="shared" si="19"/>
        <v/>
      </c>
      <c r="BM26" s="3"/>
      <c r="BN26" s="3"/>
      <c r="BO26" s="80" t="str">
        <f>$AU$1&amp;" "&amp;VLOOKUP(B26,'[1]Productivity-MH'!$B:$W,22,FALSE)</f>
        <v>Hiroshima N203070G</v>
      </c>
      <c r="BP26" s="4"/>
      <c r="BQ26" s="6" t="str">
        <f>IF(BP26="○",VLOOKUP(B26,'[1]Productivity-MH'!$B:$AD,29,FALSE),"")</f>
        <v/>
      </c>
      <c r="BR26" s="6" t="str">
        <f>IF(BP26="○",VLOOKUP(B26,'[1]Productivity-MH'!$B:$AB,27,FALSE),"")</f>
        <v/>
      </c>
      <c r="BS26" s="33" t="str">
        <f t="shared" si="25"/>
        <v/>
      </c>
      <c r="BT26" s="42" t="str">
        <f>IF(BP26="○",VLOOKUP(B26,'[1]Productivity-MH'!$B:$AE,30,FALSE),"")</f>
        <v/>
      </c>
      <c r="BU26" s="3" t="str">
        <f>IF(BP26="○",VLOOKUP(B26,'[1]Productivity-MH'!$B:$AF,31,FALSE),"")</f>
        <v/>
      </c>
      <c r="BV26" s="37" t="str">
        <f t="shared" si="26"/>
        <v/>
      </c>
      <c r="BW26" s="3"/>
      <c r="BX26" s="3"/>
      <c r="BY26" s="80" t="str">
        <f>$AU$1&amp;" "&amp;VLOOKUP(B26,'[1]Productivity-MH'!$B:$AG,32,FALSE)</f>
        <v>Hiroshima N205040G</v>
      </c>
      <c r="BZ26" s="4"/>
      <c r="CA26" s="6" t="str">
        <f>IF(BZ26="○",VLOOKUP(B26,#REF!,39,FALSE),"")</f>
        <v/>
      </c>
      <c r="CB26" s="6" t="str">
        <f>IF(BZ26="○",VLOOKUP(B26,'[1]Productivity-MH'!$B:$AL,37,FALSE),"")</f>
        <v/>
      </c>
      <c r="CC26" s="33" t="str">
        <f t="shared" si="27"/>
        <v/>
      </c>
      <c r="CD26" s="42" t="str">
        <f>IF(BZ26="○",VLOOKUP(B26,'[1]Productivity-MH'!$B:$AO,40,FALSE),"")</f>
        <v/>
      </c>
      <c r="CE26" s="3" t="str">
        <f>IF(BZ26="○",VLOOKUP(B26,'[1]Productivity-MH'!$B:$AP,41,FALSE),"")</f>
        <v/>
      </c>
      <c r="CF26" s="37" t="str">
        <f t="shared" si="28"/>
        <v/>
      </c>
      <c r="CG26" s="3"/>
      <c r="CH26" s="3"/>
      <c r="CI26" s="80" t="str">
        <f>$AU$1&amp;" "&amp;VLOOKUP(B26,'[1]Productivity-MH'!$B:$AQ,42,FALSE)</f>
        <v>Hiroshima N209060G</v>
      </c>
      <c r="CJ26" s="4"/>
      <c r="CK26" s="6" t="str">
        <f>IF(CJ26="○",VLOOKUP(B26,'[1]Productivity-MH'!$B:$AX,49,FALSE),"")</f>
        <v/>
      </c>
      <c r="CL26" s="6" t="str">
        <f>IF(CJ26="○",VLOOKUP(B26,'[1]Productivity-MH'!$B:$AV,47,FALSE),"")</f>
        <v/>
      </c>
      <c r="CM26" s="33" t="str">
        <f t="shared" si="29"/>
        <v/>
      </c>
      <c r="CN26" s="42" t="str">
        <f>IF(CJ26="○",VLOOKUP(B26,'[1]Productivity-MH'!$B:$AY,50,FALSE),"")</f>
        <v/>
      </c>
      <c r="CO26" s="3" t="str">
        <f>IF(CJ26="○",VLOOKUP(B26,'[1]Productivity-MH'!$B:$AZ,51,FALSE),"")</f>
        <v/>
      </c>
      <c r="CP26" s="37" t="str">
        <f t="shared" si="30"/>
        <v/>
      </c>
      <c r="CQ26" s="3"/>
      <c r="CR26" s="3"/>
      <c r="CS26" s="80" t="str">
        <f>$AU$1&amp;" "&amp;VLOOKUP(B26,'[1]Productivity-MH'!$B:$BA,52,FALSE)</f>
        <v>Hiroshima N209110G</v>
      </c>
      <c r="CT26" s="4"/>
      <c r="CU26" s="6" t="str">
        <f>IF(CT26="○",VLOOKUP(B26,'[1]Productivity-MH'!$B:$BH,59,FALSE),"")</f>
        <v/>
      </c>
      <c r="CV26" s="6" t="str">
        <f>IF(CT26="○",VLOOKUP(B26,'[1]Productivity-MH'!$B:$BF,57,FALSE),"")</f>
        <v/>
      </c>
      <c r="CW26" s="33" t="str">
        <f t="shared" si="31"/>
        <v/>
      </c>
      <c r="CX26" s="42" t="str">
        <f>IF(CT26="○",VLOOKUP(B26,'[1]Productivity-MH'!$B:$BI,60,FALSE),"")</f>
        <v/>
      </c>
      <c r="CY26" s="3" t="str">
        <f>IF(CT26="○",VLOOKUP(B26,'[1]Productivity-MH'!$B:$BJ,61,FALSE),"")</f>
        <v/>
      </c>
      <c r="CZ26" s="37" t="str">
        <f t="shared" si="32"/>
        <v/>
      </c>
      <c r="DA26" s="3"/>
      <c r="DB26" s="3"/>
      <c r="DC26" s="36" t="str">
        <f>$AU$1&amp;" "&amp;VLOOKUP(B26,'[1]Productivity-MH'!$B:$BK,62,FALSE)</f>
        <v>Hiroshima N206570G</v>
      </c>
      <c r="DD26" s="4"/>
      <c r="DE26" s="6" t="str">
        <f>IF(DD26="○",VLOOKUP(B26,'[1]Productivity-MH'!$B:$BR,69,FALSE),"")</f>
        <v/>
      </c>
      <c r="DF26" s="6" t="str">
        <f>IF(DD26="○",VLOOKUP(B26,'[1]Productivity-MH'!$B:$BP,67,FALSE),"")</f>
        <v/>
      </c>
      <c r="DG26" s="33" t="str">
        <f t="shared" si="33"/>
        <v/>
      </c>
      <c r="DH26" s="42" t="str">
        <f>IF(DD26="○",VLOOKUP(B26,'[1]Productivity-MH'!$B:$BS,70,FALSE),"")</f>
        <v/>
      </c>
      <c r="DI26" s="3" t="str">
        <f>IF(DD26="○",VLOOKUP(B26,'[1]Productivity-MH'!$B:$BT,71,FALSE),"")</f>
        <v/>
      </c>
      <c r="DJ26" s="37" t="str">
        <f t="shared" si="34"/>
        <v/>
      </c>
      <c r="DK26" s="3"/>
      <c r="DL26" s="3"/>
      <c r="DM26" s="36" t="str">
        <f>VLOOKUP(B26,'[1]Productivity-MH'!$B:$BU,72,FALSE)</f>
        <v>N207300G</v>
      </c>
      <c r="DN26" s="4"/>
      <c r="DO26" s="6" t="str">
        <f>IF(DN26="○",VLOOKUP(B26,'[1]Productivity-MH'!$B:$BR,69,FALSE),"")</f>
        <v/>
      </c>
      <c r="DP26" s="6" t="str">
        <f>IF(DN26="○",VLOOKUP(B26,'[1]Productivity-MH'!$B:$BZ,77,FALSE),"")</f>
        <v/>
      </c>
      <c r="DQ26" s="33" t="str">
        <f t="shared" si="35"/>
        <v/>
      </c>
      <c r="DR26" s="42" t="str">
        <f>IF(DN26="○",VLOOKUP(L26,'[1]Productivity-MH'!$B:$CC,80,FALSE),"")</f>
        <v/>
      </c>
      <c r="DS26" s="3" t="str">
        <f>IF(DN26="○",VLOOKUP(L26,'[1]Productivity-MH'!$B:$CD,81,FALSE),"")</f>
        <v/>
      </c>
      <c r="DT26" s="37" t="str">
        <f t="shared" si="36"/>
        <v/>
      </c>
      <c r="DU26" s="3"/>
      <c r="DV26" s="3"/>
      <c r="DW26" s="391"/>
      <c r="DX26" s="391"/>
      <c r="DY26" s="392"/>
      <c r="DZ26" s="392"/>
      <c r="EA26" s="393"/>
      <c r="EB26" s="394"/>
      <c r="EC26" s="395"/>
      <c r="ED26" s="394"/>
      <c r="EE26" s="395"/>
      <c r="EF26" s="395"/>
      <c r="EG26" s="391"/>
      <c r="EH26" s="391"/>
      <c r="EI26" s="392"/>
      <c r="EJ26" s="392"/>
      <c r="EK26" s="393"/>
      <c r="EL26" s="394"/>
      <c r="EM26" s="395"/>
      <c r="EN26" s="394"/>
      <c r="EO26" s="395"/>
      <c r="EP26" s="395"/>
      <c r="EQ26" s="391"/>
      <c r="ER26" s="391"/>
      <c r="ES26" s="392"/>
      <c r="ET26" s="392"/>
      <c r="EU26" s="393"/>
      <c r="EV26" s="394"/>
      <c r="EW26" s="395"/>
      <c r="EX26" s="394"/>
      <c r="EY26" s="395"/>
      <c r="EZ26" s="395"/>
      <c r="FA26" s="391"/>
      <c r="FB26" s="391"/>
      <c r="FC26" s="392"/>
      <c r="FD26" s="392"/>
      <c r="FE26" s="393"/>
      <c r="FF26" s="394"/>
      <c r="FG26" s="395"/>
      <c r="FH26" s="394"/>
      <c r="FI26" s="395"/>
      <c r="FJ26" s="395"/>
      <c r="FM26" s="54"/>
      <c r="FN26" s="54"/>
      <c r="FO26" s="471"/>
      <c r="FP26" s="471"/>
      <c r="FQ26" s="295" t="str">
        <f t="shared" si="20"/>
        <v xml:space="preserve"> </v>
      </c>
      <c r="FR26" s="54" t="str">
        <f t="shared" si="21"/>
        <v xml:space="preserve"> </v>
      </c>
      <c r="FS26" t="e">
        <f t="shared" si="22"/>
        <v>#DIV/0!</v>
      </c>
    </row>
    <row r="27" spans="2:175" ht="126" customHeight="1">
      <c r="B27" s="5" t="s">
        <v>796</v>
      </c>
      <c r="C27" s="5" t="s">
        <v>384</v>
      </c>
      <c r="D27" s="5" t="s">
        <v>313</v>
      </c>
      <c r="E27" s="80">
        <v>3</v>
      </c>
      <c r="F27" s="123" t="str">
        <f t="shared" si="47"/>
        <v>×
[P・Q]
×・×</v>
      </c>
      <c r="G27" s="123" t="str">
        <f t="shared" si="1"/>
        <v>×
[P・Q]
×・○</v>
      </c>
      <c r="H27" s="123" t="str">
        <f t="shared" si="2"/>
        <v>○
[P・Q]
○・○</v>
      </c>
      <c r="I27" s="123" t="str">
        <f t="shared" si="51"/>
        <v/>
      </c>
      <c r="J27" s="123" t="str">
        <f t="shared" si="4"/>
        <v/>
      </c>
      <c r="K27" s="123" t="str">
        <f t="shared" si="49"/>
        <v/>
      </c>
      <c r="L27" s="123" t="str">
        <f t="shared" si="53"/>
        <v/>
      </c>
      <c r="M27" s="123" t="str">
        <f t="shared" si="54"/>
        <v/>
      </c>
      <c r="N27" s="123" t="str">
        <f t="shared" si="52"/>
        <v/>
      </c>
      <c r="O27" s="123" t="str">
        <f t="shared" si="8"/>
        <v/>
      </c>
      <c r="P27" s="123" t="str">
        <f t="shared" si="9"/>
        <v/>
      </c>
      <c r="Q27" s="123" t="str">
        <f t="shared" si="10"/>
        <v/>
      </c>
      <c r="R27" s="511">
        <f t="shared" si="11"/>
        <v>1</v>
      </c>
      <c r="S27" s="36">
        <v>5</v>
      </c>
      <c r="T27" s="36">
        <v>5</v>
      </c>
      <c r="U27" s="36">
        <v>5</v>
      </c>
      <c r="V27" s="80">
        <v>5</v>
      </c>
      <c r="W27" s="513">
        <f t="shared" si="12"/>
        <v>12.5</v>
      </c>
      <c r="X27" s="513">
        <f t="shared" si="13"/>
        <v>25</v>
      </c>
      <c r="Y27" s="513" cm="1">
        <f t="array" ref="Y27">_xlfn.IFS(R27&gt;=0.8,5,R27&gt;=0.6,3,R27&gt;=0.2,1,R27&lt;0.2,0)</f>
        <v>5</v>
      </c>
      <c r="Z27" s="512">
        <f t="shared" ref="Z27:Z31" si="55">SUM(S27:Y27)</f>
        <v>62.5</v>
      </c>
      <c r="AA27" s="5" t="s">
        <v>797</v>
      </c>
      <c r="AB27" s="5" t="s">
        <v>798</v>
      </c>
      <c r="AC27" s="80" t="s">
        <v>251</v>
      </c>
      <c r="AD27" s="5" t="s">
        <v>799</v>
      </c>
      <c r="AE27" s="126" t="s">
        <v>174</v>
      </c>
      <c r="AF27" s="5" t="s">
        <v>800</v>
      </c>
      <c r="AG27" s="5"/>
      <c r="AH27" s="201">
        <f t="shared" si="23"/>
        <v>0.56572362278244637</v>
      </c>
      <c r="AI27" s="202">
        <f t="shared" si="24"/>
        <v>4.166666666666667</v>
      </c>
      <c r="AJ27" s="80" t="str">
        <f t="shared" si="14"/>
        <v>LOW</v>
      </c>
      <c r="AK27" s="80" t="str">
        <f t="shared" si="15"/>
        <v>HIGH</v>
      </c>
      <c r="AL27" s="231" t="s">
        <v>801</v>
      </c>
      <c r="AM27" s="214" t="s">
        <v>802</v>
      </c>
      <c r="AN27" s="126" t="str">
        <f>IF(AND(Z27&gt;Summary!$C$5, Z27&lt;=Summary!$D$5),Summary!$B$5,IF(AND(Z27&gt;Summary!$C$6, Z27&lt;=Summary!$D$6),Summary!$B$6,IF(AND(Z27&gt;Summary!$C$7, Z27&lt;=Summary!$D$7),Summary!$B$7,Summary!$B$8)))</f>
        <v>○</v>
      </c>
      <c r="AO27" s="126" t="s">
        <v>168</v>
      </c>
      <c r="AP27" s="126"/>
      <c r="AQ27" s="126" t="s">
        <v>168</v>
      </c>
      <c r="AR27" s="126"/>
      <c r="AS27" s="126"/>
      <c r="AT27" s="29" t="s">
        <v>695</v>
      </c>
      <c r="AU27" s="80" t="str">
        <f>$AU$1&amp;" "&amp;VLOOKUP(B27,'[1]Productivity-MH'!$B:$C,2,FALSE)</f>
        <v>Hiroshima RJ05120G</v>
      </c>
      <c r="AV27" s="4" t="s">
        <v>168</v>
      </c>
      <c r="AW27" s="6">
        <f>IF(AV27="○",VLOOKUP(B27,'[1]Productivity-MH'!$B:$J,9,FALSE)," ")</f>
        <v>10.4</v>
      </c>
      <c r="AX27" s="6">
        <f>IF(AV27="○",VLOOKUP(B27,'[1]Productivity-MH'!$B:$H,7,FALSE)," ")</f>
        <v>20</v>
      </c>
      <c r="AY27" s="33">
        <f t="shared" si="16"/>
        <v>0.52</v>
      </c>
      <c r="AZ27" s="42">
        <f>IF(AV27="○",VLOOKUP(B27,'[1]Productivity-MH'!$B:$K,10,FALSE)," ")</f>
        <v>0.08</v>
      </c>
      <c r="BA27" s="3">
        <f>IF(AV27="○",VLOOKUP(B27,'[1]Productivity-MH'!$B:$L,11,FALSE)," ")</f>
        <v>1</v>
      </c>
      <c r="BB27" s="37">
        <f t="shared" si="17"/>
        <v>12.5</v>
      </c>
      <c r="BC27" s="3">
        <v>1</v>
      </c>
      <c r="BD27" s="3">
        <v>1</v>
      </c>
      <c r="BE27" s="80" t="str">
        <f>$AU$1&amp;" "&amp;VLOOKUP(B27,'[1]Productivity-MH'!$B:$M,12,FALSE)</f>
        <v>Hiroshima RJ12040G</v>
      </c>
      <c r="BF27" s="4" t="s">
        <v>168</v>
      </c>
      <c r="BG27" s="6">
        <f>IF(BF27="○",VLOOKUP(B27,'[1]Productivity-MH'!$B:$T,19,FALSE),"")</f>
        <v>10.700000000000001</v>
      </c>
      <c r="BH27" s="6">
        <f>IF(BF27="○",VLOOKUP(B27,'[1]Productivity-MH'!$B:$R,17,FALSE),"")</f>
        <v>21</v>
      </c>
      <c r="BI27" s="33">
        <f t="shared" si="18"/>
        <v>0.5095238095238096</v>
      </c>
      <c r="BJ27" s="42">
        <f>IF(BF27="○",VLOOKUP(B27,'[1]Productivity-MH'!$B:$U,20,FALSE),"")</f>
        <v>0.28199999999999997</v>
      </c>
      <c r="BK27" s="3">
        <f>IF(BF27="○",VLOOKUP(B27,'[1]Productivity-MH'!$B:$V,21,FALSE),"")</f>
        <v>0</v>
      </c>
      <c r="BL27" s="37">
        <f t="shared" si="19"/>
        <v>0</v>
      </c>
      <c r="BM27" s="3">
        <v>0</v>
      </c>
      <c r="BN27" s="3">
        <v>0</v>
      </c>
      <c r="BO27" s="80" t="str">
        <f>$AU$1&amp;" "&amp;VLOOKUP(B27,'[1]Productivity-MH'!$B:$W,22,FALSE)</f>
        <v>Hiroshima N203P90G</v>
      </c>
      <c r="BP27" s="4" t="s">
        <v>168</v>
      </c>
      <c r="BQ27" s="6">
        <f>IF(BP27="○",VLOOKUP(B27,'[1]Productivity-MH'!$B:$AD,29,FALSE),"")</f>
        <v>22.700000000000003</v>
      </c>
      <c r="BR27" s="6">
        <f>IF(BP27="○",VLOOKUP(B27,'[1]Productivity-MH'!$B:$AB,27,FALSE),"")</f>
        <v>34</v>
      </c>
      <c r="BS27" s="33">
        <f t="shared" si="25"/>
        <v>0.66764705882352948</v>
      </c>
      <c r="BT27" s="42">
        <f>IF(BP27="○",VLOOKUP(B27,'[1]Productivity-MH'!$B:$AE,30,FALSE),"")</f>
        <v>0.64900000000000002</v>
      </c>
      <c r="BU27" s="3">
        <f>IF(BP27="○",VLOOKUP(B27,'[1]Productivity-MH'!$B:$AF,31,FALSE),"")</f>
        <v>0</v>
      </c>
      <c r="BV27" s="37">
        <f t="shared" si="26"/>
        <v>0</v>
      </c>
      <c r="BW27" s="3"/>
      <c r="BX27" s="3"/>
      <c r="BY27" s="80" t="str">
        <f>$AU$1&amp;" "&amp;VLOOKUP(B27,'[1]Productivity-MH'!$B:$AG,32,FALSE)</f>
        <v>Hiroshima N206110G</v>
      </c>
      <c r="BZ27" s="4"/>
      <c r="CA27" s="6" t="str">
        <f>IF(BZ27="○",VLOOKUP(B27,#REF!,39,FALSE),"")</f>
        <v/>
      </c>
      <c r="CB27" s="6" t="str">
        <f>IF(BZ27="○",VLOOKUP(B27,'[1]Productivity-MH'!$B:$AL,37,FALSE),"")</f>
        <v/>
      </c>
      <c r="CC27" s="33" t="str">
        <f t="shared" si="27"/>
        <v/>
      </c>
      <c r="CD27" s="42" t="str">
        <f>IF(BZ27="○",VLOOKUP(B27,'[1]Productivity-MH'!$B:$AO,40,FALSE),"")</f>
        <v/>
      </c>
      <c r="CE27" s="3" t="str">
        <f>IF(BZ27="○",VLOOKUP(B27,'[1]Productivity-MH'!$B:$AP,41,FALSE),"")</f>
        <v/>
      </c>
      <c r="CF27" s="37" t="str">
        <f t="shared" si="28"/>
        <v/>
      </c>
      <c r="CG27" s="3"/>
      <c r="CH27" s="3"/>
      <c r="CI27" s="80" t="str">
        <f>$AU$1&amp;" "&amp;VLOOKUP(B27,'[1]Productivity-MH'!$B:$AQ,42,FALSE)</f>
        <v>Hiroshima N203C80G</v>
      </c>
      <c r="CJ27" s="4"/>
      <c r="CK27" s="6" t="str">
        <f>IF(CJ27="○",VLOOKUP(B27,'[1]Productivity-MH'!$B:$AX,49,FALSE),"")</f>
        <v/>
      </c>
      <c r="CL27" s="6" t="str">
        <f>IF(CJ27="○",VLOOKUP(B27,'[1]Productivity-MH'!$B:$AV,47,FALSE),"")</f>
        <v/>
      </c>
      <c r="CM27" s="33" t="str">
        <f t="shared" si="29"/>
        <v/>
      </c>
      <c r="CN27" s="42" t="str">
        <f>IF(CJ27="○",VLOOKUP(B27,'[1]Productivity-MH'!$B:$AY,50,FALSE),"")</f>
        <v/>
      </c>
      <c r="CO27" s="3" t="str">
        <f>IF(CJ27="○",VLOOKUP(B27,'[1]Productivity-MH'!$B:$AZ,51,FALSE),"")</f>
        <v/>
      </c>
      <c r="CP27" s="37" t="str">
        <f t="shared" si="30"/>
        <v/>
      </c>
      <c r="CQ27" s="3"/>
      <c r="CR27" s="3"/>
      <c r="CS27" s="80" t="str">
        <f>$AU$1&amp;" "&amp;VLOOKUP(B27,'[1]Productivity-MH'!$B:$BA,52,FALSE)</f>
        <v>Hiroshima N209080G</v>
      </c>
      <c r="CT27" s="4"/>
      <c r="CU27" s="6" t="str">
        <f>IF(CT27="○",VLOOKUP(B27,'[1]Productivity-MH'!$B:$BH,59,FALSE),"")</f>
        <v/>
      </c>
      <c r="CV27" s="6" t="str">
        <f>IF(CT27="○",VLOOKUP(B27,'[1]Productivity-MH'!$B:$BF,57,FALSE),"")</f>
        <v/>
      </c>
      <c r="CW27" s="33" t="str">
        <f t="shared" si="31"/>
        <v/>
      </c>
      <c r="CX27" s="42" t="str">
        <f>IF(CT27="○",VLOOKUP(B27,'[1]Productivity-MH'!$B:$BI,60,FALSE),"")</f>
        <v/>
      </c>
      <c r="CY27" s="3" t="str">
        <f>IF(CT27="○",VLOOKUP(B27,'[1]Productivity-MH'!$B:$BJ,61,FALSE),"")</f>
        <v/>
      </c>
      <c r="CZ27" s="37" t="str">
        <f t="shared" si="32"/>
        <v/>
      </c>
      <c r="DA27" s="3"/>
      <c r="DB27" s="3"/>
      <c r="DC27" s="36" t="str">
        <f>$AU$1&amp;" "&amp;VLOOKUP(B27,'[1]Productivity-MH'!$B:$BK,62,FALSE)</f>
        <v>Hiroshima N203D80G</v>
      </c>
      <c r="DD27" s="4"/>
      <c r="DE27" s="6" t="str">
        <f>IF(DD27="○",VLOOKUP(B27,'[1]Productivity-MH'!$B:$BR,69,FALSE),"")</f>
        <v/>
      </c>
      <c r="DF27" s="6" t="str">
        <f>IF(DD27="○",VLOOKUP(B27,'[1]Productivity-MH'!$B:$BP,67,FALSE),"")</f>
        <v/>
      </c>
      <c r="DG27" s="33" t="str">
        <f t="shared" si="33"/>
        <v/>
      </c>
      <c r="DH27" s="42" t="str">
        <f>IF(DD27="○",VLOOKUP(B27,'[1]Productivity-MH'!$B:$BS,70,FALSE),"")</f>
        <v/>
      </c>
      <c r="DI27" s="3" t="str">
        <f>IF(DD27="○",VLOOKUP(B27,'[1]Productivity-MH'!$B:$BT,71,FALSE),"")</f>
        <v/>
      </c>
      <c r="DJ27" s="37" t="str">
        <f t="shared" si="34"/>
        <v/>
      </c>
      <c r="DK27" s="3"/>
      <c r="DL27" s="3"/>
      <c r="DM27" s="36" t="str">
        <f>VLOOKUP(B27,'[1]Productivity-MH'!$B:$BU,72,FALSE)</f>
        <v>N203D80G</v>
      </c>
      <c r="DN27" s="4"/>
      <c r="DO27" s="6" t="str">
        <f>IF(DN27="○",VLOOKUP(B27,'[1]Productivity-MH'!$B:$BR,69,FALSE),"")</f>
        <v/>
      </c>
      <c r="DP27" s="6" t="str">
        <f>IF(DN27="○",VLOOKUP(B27,'[1]Productivity-MH'!$B:$BZ,77,FALSE),"")</f>
        <v/>
      </c>
      <c r="DQ27" s="33" t="str">
        <f t="shared" si="35"/>
        <v/>
      </c>
      <c r="DR27" s="42" t="str">
        <f>IF(DN27="○",VLOOKUP(L27,'[1]Productivity-MH'!$B:$CC,80,FALSE),"")</f>
        <v/>
      </c>
      <c r="DS27" s="3" t="str">
        <f>IF(DN27="○",VLOOKUP(L27,'[1]Productivity-MH'!$B:$CD,81,FALSE),"")</f>
        <v/>
      </c>
      <c r="DT27" s="37" t="str">
        <f t="shared" si="36"/>
        <v/>
      </c>
      <c r="DU27" s="3"/>
      <c r="DV27" s="3"/>
      <c r="DW27" s="391"/>
      <c r="DX27" s="391"/>
      <c r="DY27" s="392"/>
      <c r="DZ27" s="392"/>
      <c r="EA27" s="393"/>
      <c r="EB27" s="394"/>
      <c r="EC27" s="395"/>
      <c r="ED27" s="394"/>
      <c r="EE27" s="395"/>
      <c r="EF27" s="395"/>
      <c r="EG27" s="391"/>
      <c r="EH27" s="391"/>
      <c r="EI27" s="392"/>
      <c r="EJ27" s="392"/>
      <c r="EK27" s="393"/>
      <c r="EL27" s="394"/>
      <c r="EM27" s="395"/>
      <c r="EN27" s="394"/>
      <c r="EO27" s="395"/>
      <c r="EP27" s="395"/>
      <c r="EQ27" s="391"/>
      <c r="ER27" s="391"/>
      <c r="ES27" s="392"/>
      <c r="ET27" s="392"/>
      <c r="EU27" s="393"/>
      <c r="EV27" s="394"/>
      <c r="EW27" s="395"/>
      <c r="EX27" s="394"/>
      <c r="EY27" s="395"/>
      <c r="EZ27" s="395"/>
      <c r="FA27" s="391"/>
      <c r="FB27" s="391"/>
      <c r="FC27" s="392"/>
      <c r="FD27" s="392"/>
      <c r="FE27" s="393"/>
      <c r="FF27" s="394"/>
      <c r="FG27" s="395"/>
      <c r="FH27" s="394"/>
      <c r="FI27" s="395"/>
      <c r="FJ27" s="395"/>
      <c r="FM27" s="54">
        <f t="shared" si="46"/>
        <v>1.0110000000000001</v>
      </c>
      <c r="FN27" s="54">
        <f t="shared" si="46"/>
        <v>1</v>
      </c>
      <c r="FO27" s="471">
        <f t="shared" si="45"/>
        <v>43.800000000000004</v>
      </c>
      <c r="FP27" s="471">
        <f t="shared" si="45"/>
        <v>75</v>
      </c>
      <c r="FQ27" s="295">
        <f t="shared" si="20"/>
        <v>0.56572362278244637</v>
      </c>
      <c r="FR27" s="54">
        <f t="shared" si="21"/>
        <v>4.166666666666667</v>
      </c>
      <c r="FS27">
        <f t="shared" si="22"/>
        <v>0.98911968348170121</v>
      </c>
    </row>
    <row r="28" spans="2:175" ht="222" customHeight="1">
      <c r="B28" s="5" t="s">
        <v>803</v>
      </c>
      <c r="C28" s="5" t="s">
        <v>287</v>
      </c>
      <c r="D28" s="5" t="s">
        <v>224</v>
      </c>
      <c r="E28" s="80">
        <v>5</v>
      </c>
      <c r="F28" s="123" t="str">
        <f t="shared" si="47"/>
        <v>○
[P・Q]
○・○</v>
      </c>
      <c r="G28" s="123" t="str">
        <f t="shared" si="1"/>
        <v>○
[P・Q]
○・○</v>
      </c>
      <c r="H28" s="123" t="str">
        <f t="shared" si="2"/>
        <v>×
[P・Q]
--・--</v>
      </c>
      <c r="I28" s="123" t="str">
        <f t="shared" si="51"/>
        <v>×
[P・Q]
○・×</v>
      </c>
      <c r="J28" s="123" t="str">
        <f t="shared" si="4"/>
        <v>×
[P・Q]
○・×</v>
      </c>
      <c r="K28" s="123" t="str">
        <f t="shared" si="49"/>
        <v/>
      </c>
      <c r="L28" s="123" t="str">
        <f t="shared" si="53"/>
        <v/>
      </c>
      <c r="M28" s="123" t="str">
        <f t="shared" si="54"/>
        <v/>
      </c>
      <c r="N28" s="123" t="str">
        <f t="shared" si="52"/>
        <v/>
      </c>
      <c r="O28" s="123" t="str">
        <f t="shared" si="8"/>
        <v/>
      </c>
      <c r="P28" s="123" t="str">
        <f t="shared" si="9"/>
        <v/>
      </c>
      <c r="Q28" s="123" t="str">
        <f t="shared" si="10"/>
        <v/>
      </c>
      <c r="R28" s="511">
        <f t="shared" si="11"/>
        <v>0.8</v>
      </c>
      <c r="S28" s="80">
        <v>5</v>
      </c>
      <c r="T28" s="80">
        <v>5</v>
      </c>
      <c r="U28" s="80">
        <v>5</v>
      </c>
      <c r="V28" s="80">
        <v>5</v>
      </c>
      <c r="W28" s="123">
        <f t="shared" si="12"/>
        <v>30</v>
      </c>
      <c r="X28" s="123">
        <f t="shared" si="13"/>
        <v>15</v>
      </c>
      <c r="Y28" s="123" cm="1">
        <f t="array" ref="Y28">_xlfn.IFS(R28&gt;=0.8,5,R28&gt;=0.6,3,R28&gt;=0.2,1,R28&lt;0.2,0)</f>
        <v>5</v>
      </c>
      <c r="Z28" s="512">
        <f t="shared" si="55"/>
        <v>70</v>
      </c>
      <c r="AA28" s="5" t="s">
        <v>804</v>
      </c>
      <c r="AB28" s="5" t="s">
        <v>805</v>
      </c>
      <c r="AC28" s="80" t="s">
        <v>226</v>
      </c>
      <c r="AD28" s="5" t="s">
        <v>806</v>
      </c>
      <c r="AE28" s="126" t="s">
        <v>174</v>
      </c>
      <c r="AF28" s="5" t="s">
        <v>807</v>
      </c>
      <c r="AG28" s="5"/>
      <c r="AH28" s="201">
        <f t="shared" si="23"/>
        <v>1.0328260869565218</v>
      </c>
      <c r="AI28" s="202">
        <f t="shared" si="24"/>
        <v>6.9845929564948221</v>
      </c>
      <c r="AJ28" s="80" t="str">
        <f t="shared" si="14"/>
        <v>HIGH</v>
      </c>
      <c r="AK28" s="80" t="str">
        <f t="shared" si="15"/>
        <v>HIGH</v>
      </c>
      <c r="AL28" s="319" t="s">
        <v>808</v>
      </c>
      <c r="AM28" s="5" t="s">
        <v>809</v>
      </c>
      <c r="AN28" s="126" t="str">
        <f>IF(AND(Z28&gt;Summary!$C$5, Z28&lt;=Summary!$D$5),Summary!$B$5,IF(AND(Z28&gt;Summary!$C$6, Z28&lt;=Summary!$D$6),Summary!$B$6,IF(AND(Z28&gt;Summary!$C$7, Z28&lt;=Summary!$D$7),Summary!$B$7,Summary!$B$8)))</f>
        <v>○</v>
      </c>
      <c r="AO28" s="126" t="s">
        <v>168</v>
      </c>
      <c r="AP28" s="126"/>
      <c r="AQ28" s="126"/>
      <c r="AR28" s="126"/>
      <c r="AS28" s="126" t="s">
        <v>168</v>
      </c>
      <c r="AT28" s="5" t="s">
        <v>695</v>
      </c>
      <c r="AU28" s="80" t="str">
        <f>$AU$1&amp;" "&amp;VLOOKUP(B28,'[1]Productivity-MH'!$B:$C,2,FALSE)</f>
        <v>Hiroshima RJ05130G</v>
      </c>
      <c r="AV28" s="4" t="s">
        <v>168</v>
      </c>
      <c r="AW28" s="6">
        <f>IF(AV28="○",VLOOKUP(B28,'[1]Productivity-MH'!$B:$J,9,FALSE)," ")</f>
        <v>10.4</v>
      </c>
      <c r="AX28" s="6">
        <f>IF(AV28="○",VLOOKUP(B28,'[1]Productivity-MH'!$B:$H,7,FALSE)," ")</f>
        <v>10</v>
      </c>
      <c r="AY28" s="33">
        <f t="shared" si="16"/>
        <v>1.04</v>
      </c>
      <c r="AZ28" s="42">
        <f>IF(AV28="○",VLOOKUP(B28,'[1]Productivity-MH'!$B:$K,10,FALSE)," ")</f>
        <v>6.9000000000000006E-2</v>
      </c>
      <c r="BA28" s="3">
        <f>IF(AV28="○",VLOOKUP(B28,'[1]Productivity-MH'!$B:$L,11,FALSE)," ")</f>
        <v>0</v>
      </c>
      <c r="BB28" s="37">
        <f t="shared" si="17"/>
        <v>0</v>
      </c>
      <c r="BC28" s="3">
        <v>0</v>
      </c>
      <c r="BD28" s="3">
        <v>0</v>
      </c>
      <c r="BE28" s="80" t="str">
        <f>$AU$1&amp;" "&amp;VLOOKUP(B28,'[1]Productivity-MH'!$B:$M,12,FALSE)</f>
        <v>Hiroshima N203PK0G</v>
      </c>
      <c r="BF28" s="4" t="s">
        <v>168</v>
      </c>
      <c r="BG28" s="6">
        <f>IF(BF28="○",VLOOKUP(B28,'[1]Productivity-MH'!$B:$T,19,FALSE),"")</f>
        <v>22.8</v>
      </c>
      <c r="BH28" s="6">
        <f>IF(BF28="○",VLOOKUP(B28,'[1]Productivity-MH'!$B:$R,17,FALSE),"")</f>
        <v>23</v>
      </c>
      <c r="BI28" s="33">
        <f t="shared" si="18"/>
        <v>0.99130434782608701</v>
      </c>
      <c r="BJ28" s="42">
        <f>IF(BF28="○",VLOOKUP(B28,'[1]Productivity-MH'!$B:$U,20,FALSE),"")</f>
        <v>1.004</v>
      </c>
      <c r="BK28" s="3">
        <f>IF(BF28="○",VLOOKUP(B28,'[1]Productivity-MH'!$B:$V,21,FALSE),"")</f>
        <v>1</v>
      </c>
      <c r="BL28" s="37">
        <f t="shared" si="19"/>
        <v>0.99601593625498008</v>
      </c>
      <c r="BM28" s="3"/>
      <c r="BN28" s="3"/>
      <c r="BO28" s="80" t="str">
        <f>$AU$1&amp;" "&amp;VLOOKUP(B28,'[1]Productivity-MH'!$B:$W,22,FALSE)</f>
        <v>Hiroshima N203PK1G</v>
      </c>
      <c r="BP28" s="4"/>
      <c r="BQ28" s="6" t="str">
        <f>IF(BP28="○",VLOOKUP(B28,'[1]Productivity-MH'!$B:$AD,29,FALSE),"")</f>
        <v/>
      </c>
      <c r="BR28" s="6" t="str">
        <f>IF(BP28="○",VLOOKUP(B28,'[1]Productivity-MH'!$B:$AB,27,FALSE),"")</f>
        <v/>
      </c>
      <c r="BS28" s="33" t="str">
        <f t="shared" si="25"/>
        <v/>
      </c>
      <c r="BT28" s="42" t="str">
        <f>IF(BP28="○",VLOOKUP(B28,'[1]Productivity-MH'!$B:$AE,30,FALSE),"")</f>
        <v/>
      </c>
      <c r="BU28" s="3" t="str">
        <f>IF(BP28="○",VLOOKUP(B28,'[1]Productivity-MH'!$B:$AF,31,FALSE),"")</f>
        <v/>
      </c>
      <c r="BV28" s="37" t="str">
        <f t="shared" si="26"/>
        <v/>
      </c>
      <c r="BW28" s="3"/>
      <c r="BX28" s="3"/>
      <c r="BY28" s="80" t="str">
        <f>$AU$1&amp;" "&amp;VLOOKUP(B28,'[1]Productivity-MH'!$B:$AG,32,FALSE)</f>
        <v>Hiroshima RJ03430G</v>
      </c>
      <c r="BZ28" s="4" t="s">
        <v>168</v>
      </c>
      <c r="CA28" s="6">
        <v>10.5</v>
      </c>
      <c r="CB28" s="6">
        <f>IF(BZ28="○",VLOOKUP(B28,'[1]Productivity-MH'!$B:$AL,37,FALSE),"")</f>
        <v>10</v>
      </c>
      <c r="CC28" s="33">
        <f t="shared" si="27"/>
        <v>1.05</v>
      </c>
      <c r="CD28" s="42">
        <f>IF(BZ28="○",VLOOKUP(B28,'[1]Productivity-MH'!$B:$AO,40,FALSE),"")</f>
        <v>0.16800000000000001</v>
      </c>
      <c r="CE28" s="3">
        <f>IF(BZ28="○",VLOOKUP(B28,'[1]Productivity-MH'!$B:$AP,41,FALSE),"")</f>
        <v>2</v>
      </c>
      <c r="CF28" s="37">
        <f t="shared" si="28"/>
        <v>11.904761904761903</v>
      </c>
      <c r="CG28" s="3">
        <v>2</v>
      </c>
      <c r="CH28" s="3">
        <v>2</v>
      </c>
      <c r="CI28" s="80" t="str">
        <f>$AU$1&amp;" "&amp;VLOOKUP(B28,'[1]Productivity-MH'!$B:$AQ,42,FALSE)</f>
        <v>Hiroshima RJ03440G</v>
      </c>
      <c r="CJ28" s="4" t="s">
        <v>168</v>
      </c>
      <c r="CK28" s="6">
        <f>IF(CJ28="○",VLOOKUP(B28,'[1]Productivity-MH'!$B:$AX,49,FALSE),"")</f>
        <v>10.5</v>
      </c>
      <c r="CL28" s="6">
        <f>IF(CJ28="○",VLOOKUP(B28,'[1]Productivity-MH'!$B:$AV,47,FALSE),"")</f>
        <v>10</v>
      </c>
      <c r="CM28" s="33">
        <f t="shared" si="29"/>
        <v>1.05</v>
      </c>
      <c r="CN28" s="42">
        <f>IF(CJ28="○",VLOOKUP(B28,'[1]Productivity-MH'!$B:$AY,50,FALSE),"")</f>
        <v>0.13300000000000001</v>
      </c>
      <c r="CO28" s="3">
        <f>IF(CJ28="○",VLOOKUP(B28,'[1]Productivity-MH'!$B:$AZ,51,FALSE),"")</f>
        <v>2</v>
      </c>
      <c r="CP28" s="37">
        <f t="shared" si="30"/>
        <v>15.037593984962406</v>
      </c>
      <c r="CQ28" s="3">
        <v>2</v>
      </c>
      <c r="CR28" s="3">
        <v>2</v>
      </c>
      <c r="CS28" s="232"/>
      <c r="CT28" s="145"/>
      <c r="CU28" s="146"/>
      <c r="CV28" s="146"/>
      <c r="CW28" s="147"/>
      <c r="CX28" s="148"/>
      <c r="CY28" s="149"/>
      <c r="CZ28" s="148"/>
      <c r="DA28" s="149"/>
      <c r="DB28" s="149"/>
      <c r="DC28" s="400"/>
      <c r="DD28" s="145"/>
      <c r="DE28" s="146"/>
      <c r="DF28" s="146"/>
      <c r="DG28" s="147"/>
      <c r="DH28" s="148"/>
      <c r="DI28" s="149"/>
      <c r="DJ28" s="148"/>
      <c r="DK28" s="149"/>
      <c r="DL28" s="149"/>
      <c r="DM28" s="400"/>
      <c r="DN28" s="145"/>
      <c r="DO28" s="146"/>
      <c r="DP28" s="146"/>
      <c r="DQ28" s="147"/>
      <c r="DR28" s="148"/>
      <c r="DS28" s="149"/>
      <c r="DT28" s="148"/>
      <c r="DU28" s="149"/>
      <c r="DV28" s="149"/>
      <c r="DW28" s="145"/>
      <c r="DX28" s="145"/>
      <c r="DY28" s="146"/>
      <c r="DZ28" s="146"/>
      <c r="EA28" s="147"/>
      <c r="EB28" s="148"/>
      <c r="EC28" s="149"/>
      <c r="ED28" s="148"/>
      <c r="EE28" s="149"/>
      <c r="EF28" s="149"/>
      <c r="EG28" s="145"/>
      <c r="EH28" s="145"/>
      <c r="EI28" s="146"/>
      <c r="EJ28" s="146"/>
      <c r="EK28" s="147"/>
      <c r="EL28" s="148"/>
      <c r="EM28" s="149"/>
      <c r="EN28" s="148"/>
      <c r="EO28" s="149"/>
      <c r="EP28" s="149"/>
      <c r="EQ28" s="145"/>
      <c r="ER28" s="145"/>
      <c r="ES28" s="146"/>
      <c r="ET28" s="146"/>
      <c r="EU28" s="147"/>
      <c r="EV28" s="148"/>
      <c r="EW28" s="149"/>
      <c r="EX28" s="148"/>
      <c r="EY28" s="149"/>
      <c r="EZ28" s="149"/>
      <c r="FA28" s="145"/>
      <c r="FB28" s="145"/>
      <c r="FC28" s="146"/>
      <c r="FD28" s="146"/>
      <c r="FE28" s="147"/>
      <c r="FF28" s="148"/>
      <c r="FG28" s="149"/>
      <c r="FH28" s="148"/>
      <c r="FI28" s="149"/>
      <c r="FJ28" s="149"/>
      <c r="FM28" s="54">
        <f t="shared" si="46"/>
        <v>1.3740000000000001</v>
      </c>
      <c r="FN28" s="54">
        <f t="shared" si="46"/>
        <v>5</v>
      </c>
      <c r="FO28" s="471">
        <f t="shared" si="45"/>
        <v>54.199999999999996</v>
      </c>
      <c r="FP28" s="471">
        <f t="shared" si="45"/>
        <v>53</v>
      </c>
      <c r="FQ28" s="295">
        <f t="shared" si="20"/>
        <v>1.0328260869565218</v>
      </c>
      <c r="FR28" s="54">
        <f t="shared" si="21"/>
        <v>6.9845929564948221</v>
      </c>
      <c r="FS28">
        <f t="shared" si="22"/>
        <v>3.6390101892285296</v>
      </c>
    </row>
    <row r="29" spans="2:175" ht="42" customHeight="1">
      <c r="B29" s="5"/>
      <c r="C29" s="5"/>
      <c r="D29" s="5"/>
      <c r="E29" s="80"/>
      <c r="F29" s="123" t="str">
        <f t="shared" si="47"/>
        <v/>
      </c>
      <c r="G29" s="123" t="str">
        <f t="shared" si="1"/>
        <v/>
      </c>
      <c r="H29" s="123" t="str">
        <f t="shared" si="2"/>
        <v/>
      </c>
      <c r="I29" s="123" t="str">
        <f t="shared" si="51"/>
        <v/>
      </c>
      <c r="J29" s="123" t="str">
        <f t="shared" si="4"/>
        <v/>
      </c>
      <c r="K29" s="123" t="str">
        <f t="shared" si="49"/>
        <v/>
      </c>
      <c r="L29" s="123" t="str">
        <f t="shared" si="53"/>
        <v/>
      </c>
      <c r="M29" s="123" t="str">
        <f t="shared" si="54"/>
        <v/>
      </c>
      <c r="N29" s="123" t="str">
        <f t="shared" si="52"/>
        <v/>
      </c>
      <c r="O29" s="123" t="str">
        <f t="shared" si="8"/>
        <v/>
      </c>
      <c r="P29" s="123" t="str">
        <f t="shared" si="9"/>
        <v/>
      </c>
      <c r="Q29" s="123" t="str">
        <f t="shared" si="10"/>
        <v/>
      </c>
      <c r="R29" s="511" t="e">
        <f t="shared" si="11"/>
        <v>#DIV/0!</v>
      </c>
      <c r="S29" s="80"/>
      <c r="T29" s="80"/>
      <c r="U29" s="80"/>
      <c r="V29" s="80"/>
      <c r="W29" s="513" t="e">
        <f t="shared" si="12"/>
        <v>#DIV/0!</v>
      </c>
      <c r="X29" s="513" t="e">
        <f t="shared" si="13"/>
        <v>#DIV/0!</v>
      </c>
      <c r="Y29" s="513" t="e" cm="1">
        <f t="array" ref="Y29">_xlfn.IFS(R29&gt;=0.8,5,R29&gt;=0.6,3,R29&gt;=0.2,1,R29&lt;0.2,0)</f>
        <v>#DIV/0!</v>
      </c>
      <c r="Z29" s="512" t="e">
        <f t="shared" si="55"/>
        <v>#DIV/0!</v>
      </c>
      <c r="AA29" s="5"/>
      <c r="AB29" s="5"/>
      <c r="AC29" s="5"/>
      <c r="AD29" s="5"/>
      <c r="AE29" s="5"/>
      <c r="AF29" s="5"/>
      <c r="AG29" s="5"/>
      <c r="AH29" s="5"/>
      <c r="AI29" s="5"/>
      <c r="AJ29" s="5"/>
      <c r="AK29" s="5"/>
      <c r="AL29" s="5"/>
      <c r="AM29" s="5"/>
      <c r="AN29" s="126" t="e">
        <f>IF(AND(Z29&gt;Summary!$C$5, Z29&lt;=Summary!$D$5),Summary!$B$5,IF(AND(Z29&gt;Summary!$C$6, Z29&lt;=Summary!$D$6),Summary!$B$6,IF(AND(Z29&gt;Summary!$C$7, Z29&lt;=Summary!$D$7),Summary!$B$7,Summary!$B$8)))</f>
        <v>#DIV/0!</v>
      </c>
      <c r="AO29" s="126"/>
      <c r="AP29" s="126"/>
      <c r="AQ29" s="126"/>
      <c r="AR29" s="126"/>
      <c r="AS29" s="126"/>
      <c r="AT29" s="29"/>
      <c r="AU29" s="4"/>
      <c r="AV29" s="4"/>
      <c r="AW29" s="6"/>
      <c r="AX29" s="6"/>
      <c r="AY29" s="33" t="str">
        <f t="shared" ref="AY29:AY31" si="56">IF(AX29="","",AW29/AX29)</f>
        <v/>
      </c>
      <c r="AZ29" s="42"/>
      <c r="BA29" s="3"/>
      <c r="BB29" s="37" t="str">
        <f t="shared" ref="BB29:BB31" si="57">IF(BA29="","",BA29/AZ29)</f>
        <v/>
      </c>
      <c r="BC29" s="3"/>
      <c r="BD29" s="3"/>
      <c r="BE29" s="4"/>
      <c r="BF29" s="4"/>
      <c r="BG29" s="6"/>
      <c r="BH29" s="6"/>
      <c r="BI29" s="33" t="str">
        <f t="shared" ref="BI29:BI31" si="58">IF(BH29="","",BG29/BH29)</f>
        <v/>
      </c>
      <c r="BJ29" s="42"/>
      <c r="BK29" s="3"/>
      <c r="BL29" s="37" t="str">
        <f t="shared" ref="BL29:BL31" si="59">IF(BK29="","",BK29/BJ29)</f>
        <v/>
      </c>
      <c r="BM29" s="3"/>
      <c r="BN29" s="3"/>
      <c r="BO29" s="4"/>
      <c r="BP29" s="4"/>
      <c r="BQ29" s="6"/>
      <c r="BR29" s="6"/>
      <c r="BS29" s="33" t="str">
        <f t="shared" si="25"/>
        <v/>
      </c>
      <c r="BT29" s="42"/>
      <c r="BU29" s="3"/>
      <c r="BV29" s="37" t="str">
        <f t="shared" si="26"/>
        <v/>
      </c>
      <c r="BW29" s="3"/>
      <c r="BX29" s="3"/>
      <c r="BY29" s="4"/>
      <c r="BZ29" s="4"/>
      <c r="CA29" s="6"/>
      <c r="CB29" s="6"/>
      <c r="CC29" s="33" t="str">
        <f t="shared" si="27"/>
        <v/>
      </c>
      <c r="CD29" s="42"/>
      <c r="CE29" s="3"/>
      <c r="CF29" s="37" t="str">
        <f t="shared" si="28"/>
        <v/>
      </c>
      <c r="CG29" s="3"/>
      <c r="CH29" s="3"/>
      <c r="CI29" s="80" t="e">
        <f>$AU$1&amp;" "&amp;VLOOKUP(B29,#REF!,42,FALSE)</f>
        <v>#REF!</v>
      </c>
      <c r="CJ29" s="4"/>
      <c r="CK29" s="6"/>
      <c r="CL29" s="6"/>
      <c r="CM29" s="33" t="str">
        <f t="shared" si="29"/>
        <v/>
      </c>
      <c r="CN29" s="42"/>
      <c r="CO29" s="3"/>
      <c r="CP29" s="37" t="str">
        <f t="shared" si="30"/>
        <v/>
      </c>
      <c r="CQ29" s="3"/>
      <c r="CR29" s="3"/>
      <c r="CS29" s="4"/>
      <c r="CT29" s="4"/>
      <c r="CU29" s="6"/>
      <c r="CV29" s="6"/>
      <c r="CW29" s="33" t="str">
        <f t="shared" si="31"/>
        <v/>
      </c>
      <c r="CX29" s="42"/>
      <c r="CY29" s="3"/>
      <c r="CZ29" s="37" t="str">
        <f t="shared" si="32"/>
        <v/>
      </c>
      <c r="DA29" s="3"/>
      <c r="DB29" s="3"/>
      <c r="DC29" s="4"/>
      <c r="DD29" s="4"/>
      <c r="DE29" s="6"/>
      <c r="DF29" s="6"/>
      <c r="DG29" s="33" t="str">
        <f t="shared" si="33"/>
        <v/>
      </c>
      <c r="DH29" s="42"/>
      <c r="DI29" s="3"/>
      <c r="DJ29" s="37" t="str">
        <f t="shared" si="34"/>
        <v/>
      </c>
      <c r="DK29" s="3"/>
      <c r="DL29" s="3"/>
      <c r="DM29" s="4"/>
      <c r="DN29" s="4"/>
      <c r="DO29" s="6"/>
      <c r="DP29" s="6"/>
      <c r="DQ29" s="33" t="str">
        <f t="shared" si="35"/>
        <v/>
      </c>
      <c r="DR29" s="42"/>
      <c r="DS29" s="3"/>
      <c r="DT29" s="37" t="str">
        <f t="shared" si="36"/>
        <v/>
      </c>
      <c r="DU29" s="3"/>
      <c r="DV29" s="3"/>
      <c r="DW29" s="4"/>
      <c r="DX29" s="4"/>
      <c r="DY29" s="6"/>
      <c r="DZ29" s="6"/>
      <c r="EA29" s="33" t="str">
        <f t="shared" ref="EA29:EA31" si="60">IF(DZ29="","",DY29/DZ29)</f>
        <v/>
      </c>
      <c r="EB29" s="42"/>
      <c r="EC29" s="3"/>
      <c r="ED29" s="37" t="str">
        <f t="shared" si="50"/>
        <v/>
      </c>
      <c r="EE29" s="3"/>
      <c r="EF29" s="3"/>
      <c r="EG29" s="4"/>
      <c r="EH29" s="4"/>
      <c r="EI29" s="6"/>
      <c r="EJ29" s="6"/>
      <c r="EK29" s="33" t="str">
        <f t="shared" ref="EK29:EK31" si="61">IF(EJ29="","",EI29/EJ29)</f>
        <v/>
      </c>
      <c r="EL29" s="42"/>
      <c r="EM29" s="3"/>
      <c r="EN29" s="37" t="str">
        <f t="shared" ref="EN29:EN31" si="62">IF(EM29="","",EM29/EL29)</f>
        <v/>
      </c>
      <c r="EO29" s="3"/>
      <c r="EP29" s="3"/>
      <c r="EQ29" s="4"/>
      <c r="ER29" s="4"/>
      <c r="ES29" s="6"/>
      <c r="ET29" s="6"/>
      <c r="EU29" s="33" t="str">
        <f t="shared" ref="EU29:EU31" si="63">IF(ET29="","",ES29/ET29)</f>
        <v/>
      </c>
      <c r="EV29" s="42"/>
      <c r="EW29" s="3"/>
      <c r="EX29" s="37" t="str">
        <f t="shared" ref="EX29:EX31" si="64">IF(EW29="","",EW29/EV29)</f>
        <v/>
      </c>
      <c r="EY29" s="3"/>
      <c r="EZ29" s="3"/>
      <c r="FA29" s="4"/>
      <c r="FB29" s="4"/>
      <c r="FC29" s="6"/>
      <c r="FD29" s="6"/>
      <c r="FE29" s="33" t="str">
        <f t="shared" ref="FE29:FE31" si="65">IF(FD29="","",FC29/FD29)</f>
        <v/>
      </c>
      <c r="FF29" s="42"/>
      <c r="FG29" s="3"/>
      <c r="FH29" s="37" t="str">
        <f t="shared" ref="FH29:FH31" si="66">IF(FG29="","",FG29/FF29)</f>
        <v/>
      </c>
      <c r="FI29" s="3"/>
      <c r="FJ29" s="3"/>
      <c r="FM29" s="54">
        <f t="shared" si="46"/>
        <v>0</v>
      </c>
      <c r="FN29" s="54">
        <f t="shared" si="46"/>
        <v>0</v>
      </c>
      <c r="FO29" s="471">
        <f t="shared" si="45"/>
        <v>0</v>
      </c>
      <c r="FP29" s="471">
        <f t="shared" si="45"/>
        <v>0</v>
      </c>
      <c r="FQ29" s="295">
        <f t="shared" si="20"/>
        <v>0</v>
      </c>
      <c r="FR29" s="54">
        <f t="shared" si="21"/>
        <v>0</v>
      </c>
      <c r="FS29" t="e">
        <f t="shared" si="22"/>
        <v>#DIV/0!</v>
      </c>
    </row>
    <row r="30" spans="2:175" ht="42" customHeight="1">
      <c r="B30" s="5"/>
      <c r="C30" s="5"/>
      <c r="D30" s="5"/>
      <c r="E30" s="80"/>
      <c r="F30" s="123" t="str">
        <f t="shared" si="47"/>
        <v/>
      </c>
      <c r="G30" s="123" t="str">
        <f t="shared" si="1"/>
        <v/>
      </c>
      <c r="H30" s="123" t="str">
        <f t="shared" si="2"/>
        <v/>
      </c>
      <c r="I30" s="123" t="str">
        <f t="shared" si="51"/>
        <v/>
      </c>
      <c r="J30" s="123" t="str">
        <f t="shared" si="4"/>
        <v/>
      </c>
      <c r="K30" s="123" t="str">
        <f t="shared" si="49"/>
        <v/>
      </c>
      <c r="L30" s="123" t="str">
        <f t="shared" si="53"/>
        <v/>
      </c>
      <c r="M30" s="123" t="str">
        <f t="shared" si="54"/>
        <v/>
      </c>
      <c r="N30" s="123" t="str">
        <f t="shared" si="52"/>
        <v/>
      </c>
      <c r="O30" s="123" t="str">
        <f t="shared" si="8"/>
        <v/>
      </c>
      <c r="P30" s="123" t="str">
        <f t="shared" si="9"/>
        <v/>
      </c>
      <c r="Q30" s="123" t="str">
        <f t="shared" si="10"/>
        <v/>
      </c>
      <c r="R30" s="511" t="e">
        <f t="shared" si="11"/>
        <v>#DIV/0!</v>
      </c>
      <c r="S30" s="80"/>
      <c r="T30" s="80"/>
      <c r="U30" s="80"/>
      <c r="V30" s="80"/>
      <c r="W30" s="513" t="e">
        <f t="shared" si="12"/>
        <v>#DIV/0!</v>
      </c>
      <c r="X30" s="513" t="e">
        <f t="shared" si="13"/>
        <v>#DIV/0!</v>
      </c>
      <c r="Y30" s="513" t="e" cm="1">
        <f t="array" ref="Y30">_xlfn.IFS(R30&gt;=0.8,5,R30&gt;=0.6,3,R30&gt;=0.2,1,R30&lt;0.2,0)</f>
        <v>#DIV/0!</v>
      </c>
      <c r="Z30" s="512" t="e">
        <f t="shared" si="55"/>
        <v>#DIV/0!</v>
      </c>
      <c r="AA30" s="5"/>
      <c r="AB30" s="5"/>
      <c r="AC30" s="5"/>
      <c r="AD30" s="5"/>
      <c r="AE30" s="5"/>
      <c r="AF30" s="5"/>
      <c r="AG30" s="5"/>
      <c r="AH30" s="5"/>
      <c r="AI30" s="5"/>
      <c r="AJ30" s="5"/>
      <c r="AK30" s="5"/>
      <c r="AL30" s="5"/>
      <c r="AM30" s="5"/>
      <c r="AN30" s="126" t="e">
        <f>IF(AND(Z30&gt;Summary!$C$5, Z30&lt;=Summary!$D$5),Summary!$B$5,IF(AND(Z30&gt;Summary!$C$6, Z30&lt;=Summary!$D$6),Summary!$B$6,IF(AND(Z30&gt;Summary!$C$7, Z30&lt;=Summary!$D$7),Summary!$B$7,Summary!$B$8)))</f>
        <v>#DIV/0!</v>
      </c>
      <c r="AO30" s="126"/>
      <c r="AP30" s="126"/>
      <c r="AQ30" s="126"/>
      <c r="AR30" s="126"/>
      <c r="AS30" s="126"/>
      <c r="AT30" s="29"/>
      <c r="AU30" s="4"/>
      <c r="AV30" s="4"/>
      <c r="AW30" s="6"/>
      <c r="AX30" s="6"/>
      <c r="AY30" s="33" t="str">
        <f t="shared" si="56"/>
        <v/>
      </c>
      <c r="AZ30" s="42"/>
      <c r="BA30" s="3"/>
      <c r="BB30" s="37" t="str">
        <f t="shared" si="57"/>
        <v/>
      </c>
      <c r="BC30" s="3"/>
      <c r="BD30" s="3"/>
      <c r="BE30" s="4"/>
      <c r="BF30" s="4"/>
      <c r="BG30" s="6"/>
      <c r="BH30" s="6"/>
      <c r="BI30" s="33" t="str">
        <f t="shared" si="58"/>
        <v/>
      </c>
      <c r="BJ30" s="42"/>
      <c r="BK30" s="3"/>
      <c r="BL30" s="37" t="str">
        <f t="shared" si="59"/>
        <v/>
      </c>
      <c r="BM30" s="3"/>
      <c r="BN30" s="3"/>
      <c r="BO30" s="4"/>
      <c r="BP30" s="4"/>
      <c r="BQ30" s="6"/>
      <c r="BR30" s="6"/>
      <c r="BS30" s="33" t="str">
        <f t="shared" si="25"/>
        <v/>
      </c>
      <c r="BT30" s="42"/>
      <c r="BU30" s="3"/>
      <c r="BV30" s="37" t="str">
        <f t="shared" si="26"/>
        <v/>
      </c>
      <c r="BW30" s="3"/>
      <c r="BX30" s="3"/>
      <c r="BY30" s="4"/>
      <c r="BZ30" s="4"/>
      <c r="CA30" s="6"/>
      <c r="CB30" s="6"/>
      <c r="CC30" s="33" t="str">
        <f t="shared" si="27"/>
        <v/>
      </c>
      <c r="CD30" s="42"/>
      <c r="CE30" s="3"/>
      <c r="CF30" s="37" t="str">
        <f t="shared" si="28"/>
        <v/>
      </c>
      <c r="CG30" s="3"/>
      <c r="CH30" s="3"/>
      <c r="CI30" s="80" t="e">
        <f>$AU$1&amp;" "&amp;VLOOKUP(B30,#REF!,42,FALSE)</f>
        <v>#REF!</v>
      </c>
      <c r="CJ30" s="4"/>
      <c r="CK30" s="6"/>
      <c r="CL30" s="6"/>
      <c r="CM30" s="33" t="str">
        <f t="shared" si="29"/>
        <v/>
      </c>
      <c r="CN30" s="42"/>
      <c r="CO30" s="3"/>
      <c r="CP30" s="37" t="str">
        <f t="shared" si="30"/>
        <v/>
      </c>
      <c r="CQ30" s="3"/>
      <c r="CR30" s="3"/>
      <c r="CS30" s="4"/>
      <c r="CT30" s="4"/>
      <c r="CU30" s="6"/>
      <c r="CV30" s="6"/>
      <c r="CW30" s="33" t="str">
        <f t="shared" si="31"/>
        <v/>
      </c>
      <c r="CX30" s="42"/>
      <c r="CY30" s="3"/>
      <c r="CZ30" s="37" t="str">
        <f t="shared" si="32"/>
        <v/>
      </c>
      <c r="DA30" s="3"/>
      <c r="DB30" s="3"/>
      <c r="DC30" s="4"/>
      <c r="DD30" s="4"/>
      <c r="DE30" s="6"/>
      <c r="DF30" s="6"/>
      <c r="DG30" s="33" t="str">
        <f t="shared" si="33"/>
        <v/>
      </c>
      <c r="DH30" s="42"/>
      <c r="DI30" s="3"/>
      <c r="DJ30" s="37" t="str">
        <f t="shared" si="34"/>
        <v/>
      </c>
      <c r="DK30" s="3"/>
      <c r="DL30" s="3"/>
      <c r="DM30" s="4"/>
      <c r="DN30" s="4"/>
      <c r="DO30" s="6"/>
      <c r="DP30" s="6"/>
      <c r="DQ30" s="33" t="str">
        <f t="shared" si="35"/>
        <v/>
      </c>
      <c r="DR30" s="42"/>
      <c r="DS30" s="3"/>
      <c r="DT30" s="37" t="str">
        <f t="shared" si="36"/>
        <v/>
      </c>
      <c r="DU30" s="3"/>
      <c r="DV30" s="3"/>
      <c r="DW30" s="4"/>
      <c r="DX30" s="4"/>
      <c r="DY30" s="6"/>
      <c r="DZ30" s="6"/>
      <c r="EA30" s="33" t="str">
        <f t="shared" si="60"/>
        <v/>
      </c>
      <c r="EB30" s="42"/>
      <c r="EC30" s="3"/>
      <c r="ED30" s="37" t="str">
        <f t="shared" si="50"/>
        <v/>
      </c>
      <c r="EE30" s="3"/>
      <c r="EF30" s="3"/>
      <c r="EG30" s="4"/>
      <c r="EH30" s="4"/>
      <c r="EI30" s="6"/>
      <c r="EJ30" s="6"/>
      <c r="EK30" s="33" t="str">
        <f t="shared" si="61"/>
        <v/>
      </c>
      <c r="EL30" s="42"/>
      <c r="EM30" s="3"/>
      <c r="EN30" s="37" t="str">
        <f t="shared" si="62"/>
        <v/>
      </c>
      <c r="EO30" s="3"/>
      <c r="EP30" s="3"/>
      <c r="EQ30" s="4"/>
      <c r="ER30" s="4"/>
      <c r="ES30" s="6"/>
      <c r="ET30" s="6"/>
      <c r="EU30" s="33" t="str">
        <f t="shared" si="63"/>
        <v/>
      </c>
      <c r="EV30" s="42"/>
      <c r="EW30" s="3"/>
      <c r="EX30" s="37" t="str">
        <f t="shared" si="64"/>
        <v/>
      </c>
      <c r="EY30" s="3"/>
      <c r="EZ30" s="3"/>
      <c r="FA30" s="4"/>
      <c r="FB30" s="4"/>
      <c r="FC30" s="6"/>
      <c r="FD30" s="6"/>
      <c r="FE30" s="33" t="str">
        <f t="shared" si="65"/>
        <v/>
      </c>
      <c r="FF30" s="42"/>
      <c r="FG30" s="3"/>
      <c r="FH30" s="37" t="str">
        <f t="shared" si="66"/>
        <v/>
      </c>
      <c r="FI30" s="3"/>
      <c r="FJ30" s="3"/>
      <c r="FM30" s="54">
        <f t="shared" si="46"/>
        <v>0</v>
      </c>
      <c r="FN30" s="54">
        <f t="shared" si="46"/>
        <v>0</v>
      </c>
      <c r="FO30" s="471">
        <f t="shared" si="45"/>
        <v>0</v>
      </c>
      <c r="FP30" s="471">
        <f t="shared" si="45"/>
        <v>0</v>
      </c>
      <c r="FQ30" s="295">
        <f t="shared" si="20"/>
        <v>0</v>
      </c>
      <c r="FR30" s="54">
        <f t="shared" si="21"/>
        <v>0</v>
      </c>
      <c r="FS30" t="e">
        <f t="shared" si="22"/>
        <v>#DIV/0!</v>
      </c>
    </row>
    <row r="31" spans="2:175" ht="42" customHeight="1">
      <c r="B31" s="5"/>
      <c r="C31" s="5"/>
      <c r="D31" s="5"/>
      <c r="E31" s="80"/>
      <c r="F31" s="123" t="str">
        <f t="shared" si="47"/>
        <v/>
      </c>
      <c r="G31" s="123" t="str">
        <f t="shared" si="1"/>
        <v/>
      </c>
      <c r="H31" s="123" t="str">
        <f t="shared" si="2"/>
        <v/>
      </c>
      <c r="I31" s="123" t="str">
        <f t="shared" si="51"/>
        <v/>
      </c>
      <c r="J31" s="123" t="str">
        <f t="shared" si="4"/>
        <v/>
      </c>
      <c r="K31" s="123" t="str">
        <f t="shared" si="49"/>
        <v/>
      </c>
      <c r="L31" s="123" t="str">
        <f t="shared" si="53"/>
        <v/>
      </c>
      <c r="M31" s="123" t="str">
        <f t="shared" si="54"/>
        <v/>
      </c>
      <c r="N31" s="123" t="str">
        <f t="shared" si="52"/>
        <v/>
      </c>
      <c r="O31" s="123" t="str">
        <f t="shared" si="8"/>
        <v/>
      </c>
      <c r="P31" s="123" t="str">
        <f t="shared" si="9"/>
        <v/>
      </c>
      <c r="Q31" s="123" t="str">
        <f t="shared" si="10"/>
        <v/>
      </c>
      <c r="R31" s="511" t="e">
        <f t="shared" si="11"/>
        <v>#DIV/0!</v>
      </c>
      <c r="S31" s="80"/>
      <c r="T31" s="80"/>
      <c r="U31" s="80"/>
      <c r="V31" s="80"/>
      <c r="W31" s="513" t="e">
        <f t="shared" si="12"/>
        <v>#DIV/0!</v>
      </c>
      <c r="X31" s="513" t="e">
        <f t="shared" si="13"/>
        <v>#DIV/0!</v>
      </c>
      <c r="Y31" s="513" t="e" cm="1">
        <f t="array" ref="Y31">_xlfn.IFS(R31&gt;=0.8,5,R31&gt;=0.6,3,R31&gt;=0.2,1,R31&lt;0.2,0)</f>
        <v>#DIV/0!</v>
      </c>
      <c r="Z31" s="512" t="e">
        <f t="shared" si="55"/>
        <v>#DIV/0!</v>
      </c>
      <c r="AA31" s="5"/>
      <c r="AB31" s="5"/>
      <c r="AC31" s="5"/>
      <c r="AD31" s="5"/>
      <c r="AE31" s="5"/>
      <c r="AF31" s="5"/>
      <c r="AG31" s="5"/>
      <c r="AH31" s="5"/>
      <c r="AI31" s="5"/>
      <c r="AJ31" s="5"/>
      <c r="AK31" s="5"/>
      <c r="AL31" s="5"/>
      <c r="AM31" s="5"/>
      <c r="AN31" s="126" t="e">
        <f>IF(AND(Z31&gt;Summary!$C$5, Z31&lt;=Summary!$D$5),Summary!$B$5,IF(AND(Z31&gt;Summary!$C$6, Z31&lt;=Summary!$D$6),Summary!$B$6,IF(AND(Z31&gt;Summary!$C$7, Z31&lt;=Summary!$D$7),Summary!$B$7,Summary!$B$8)))</f>
        <v>#DIV/0!</v>
      </c>
      <c r="AO31" s="126"/>
      <c r="AP31" s="126"/>
      <c r="AQ31" s="126"/>
      <c r="AR31" s="126"/>
      <c r="AS31" s="126"/>
      <c r="AT31" s="29"/>
      <c r="AU31" s="4"/>
      <c r="AV31" s="4"/>
      <c r="AW31" s="6"/>
      <c r="AX31" s="6"/>
      <c r="AY31" s="33" t="str">
        <f t="shared" si="56"/>
        <v/>
      </c>
      <c r="AZ31" s="42"/>
      <c r="BA31" s="3"/>
      <c r="BB31" s="37" t="str">
        <f t="shared" si="57"/>
        <v/>
      </c>
      <c r="BC31" s="3"/>
      <c r="BD31" s="3"/>
      <c r="BE31" s="4"/>
      <c r="BF31" s="4"/>
      <c r="BG31" s="6"/>
      <c r="BH31" s="6"/>
      <c r="BI31" s="33" t="str">
        <f t="shared" si="58"/>
        <v/>
      </c>
      <c r="BJ31" s="42"/>
      <c r="BK31" s="3"/>
      <c r="BL31" s="37" t="str">
        <f t="shared" si="59"/>
        <v/>
      </c>
      <c r="BM31" s="3"/>
      <c r="BN31" s="3"/>
      <c r="BO31" s="4"/>
      <c r="BP31" s="4"/>
      <c r="BQ31" s="6"/>
      <c r="BR31" s="6"/>
      <c r="BS31" s="33" t="str">
        <f t="shared" si="25"/>
        <v/>
      </c>
      <c r="BT31" s="42"/>
      <c r="BU31" s="3"/>
      <c r="BV31" s="37" t="str">
        <f t="shared" si="26"/>
        <v/>
      </c>
      <c r="BW31" s="3"/>
      <c r="BX31" s="3"/>
      <c r="BY31" s="4"/>
      <c r="BZ31" s="4"/>
      <c r="CA31" s="6"/>
      <c r="CB31" s="6"/>
      <c r="CC31" s="33" t="str">
        <f t="shared" si="27"/>
        <v/>
      </c>
      <c r="CD31" s="42"/>
      <c r="CE31" s="3"/>
      <c r="CF31" s="37" t="str">
        <f t="shared" si="28"/>
        <v/>
      </c>
      <c r="CG31" s="3"/>
      <c r="CH31" s="3"/>
      <c r="CI31" s="80" t="e">
        <f>$AU$1&amp;" "&amp;VLOOKUP(B31,#REF!,42,FALSE)</f>
        <v>#REF!</v>
      </c>
      <c r="CJ31" s="4"/>
      <c r="CK31" s="6"/>
      <c r="CL31" s="6"/>
      <c r="CM31" s="33" t="str">
        <f t="shared" si="29"/>
        <v/>
      </c>
      <c r="CN31" s="42"/>
      <c r="CO31" s="3"/>
      <c r="CP31" s="37" t="str">
        <f t="shared" si="30"/>
        <v/>
      </c>
      <c r="CQ31" s="3"/>
      <c r="CR31" s="3"/>
      <c r="CS31" s="4"/>
      <c r="CT31" s="4"/>
      <c r="CU31" s="6"/>
      <c r="CV31" s="6"/>
      <c r="CW31" s="33" t="str">
        <f t="shared" si="31"/>
        <v/>
      </c>
      <c r="CX31" s="42"/>
      <c r="CY31" s="3"/>
      <c r="CZ31" s="37" t="str">
        <f t="shared" si="32"/>
        <v/>
      </c>
      <c r="DA31" s="3"/>
      <c r="DB31" s="3"/>
      <c r="DC31" s="4"/>
      <c r="DD31" s="4"/>
      <c r="DE31" s="6"/>
      <c r="DF31" s="6"/>
      <c r="DG31" s="33" t="str">
        <f t="shared" si="33"/>
        <v/>
      </c>
      <c r="DH31" s="42"/>
      <c r="DI31" s="3"/>
      <c r="DJ31" s="37" t="str">
        <f t="shared" si="34"/>
        <v/>
      </c>
      <c r="DK31" s="3"/>
      <c r="DL31" s="3"/>
      <c r="DM31" s="4"/>
      <c r="DN31" s="4"/>
      <c r="DO31" s="6"/>
      <c r="DP31" s="6"/>
      <c r="DQ31" s="33" t="str">
        <f t="shared" si="35"/>
        <v/>
      </c>
      <c r="DR31" s="42"/>
      <c r="DS31" s="3"/>
      <c r="DT31" s="37" t="str">
        <f t="shared" si="36"/>
        <v/>
      </c>
      <c r="DU31" s="3"/>
      <c r="DV31" s="3"/>
      <c r="DW31" s="4"/>
      <c r="DX31" s="4"/>
      <c r="DY31" s="6"/>
      <c r="DZ31" s="6"/>
      <c r="EA31" s="33" t="str">
        <f t="shared" si="60"/>
        <v/>
      </c>
      <c r="EB31" s="42"/>
      <c r="EC31" s="3"/>
      <c r="ED31" s="37" t="str">
        <f t="shared" si="50"/>
        <v/>
      </c>
      <c r="EE31" s="3"/>
      <c r="EF31" s="3"/>
      <c r="EG31" s="4"/>
      <c r="EH31" s="4"/>
      <c r="EI31" s="6"/>
      <c r="EJ31" s="6"/>
      <c r="EK31" s="33" t="str">
        <f t="shared" si="61"/>
        <v/>
      </c>
      <c r="EL31" s="42"/>
      <c r="EM31" s="3"/>
      <c r="EN31" s="37" t="str">
        <f t="shared" si="62"/>
        <v/>
      </c>
      <c r="EO31" s="3"/>
      <c r="EP31" s="3"/>
      <c r="EQ31" s="4"/>
      <c r="ER31" s="4"/>
      <c r="ES31" s="6"/>
      <c r="ET31" s="6"/>
      <c r="EU31" s="33" t="str">
        <f t="shared" si="63"/>
        <v/>
      </c>
      <c r="EV31" s="42"/>
      <c r="EW31" s="3"/>
      <c r="EX31" s="37" t="str">
        <f t="shared" si="64"/>
        <v/>
      </c>
      <c r="EY31" s="3"/>
      <c r="EZ31" s="3"/>
      <c r="FA31" s="4"/>
      <c r="FB31" s="4"/>
      <c r="FC31" s="6"/>
      <c r="FD31" s="6"/>
      <c r="FE31" s="33" t="str">
        <f t="shared" si="65"/>
        <v/>
      </c>
      <c r="FF31" s="42"/>
      <c r="FG31" s="3"/>
      <c r="FH31" s="37" t="str">
        <f t="shared" si="66"/>
        <v/>
      </c>
      <c r="FI31" s="3"/>
      <c r="FJ31" s="3"/>
      <c r="FM31" s="54">
        <f t="shared" si="46"/>
        <v>0</v>
      </c>
      <c r="FN31" s="54">
        <f t="shared" si="46"/>
        <v>0</v>
      </c>
      <c r="FO31" s="471">
        <f t="shared" si="45"/>
        <v>0</v>
      </c>
      <c r="FP31" s="471">
        <f t="shared" si="45"/>
        <v>0</v>
      </c>
      <c r="FQ31" s="295">
        <f t="shared" si="20"/>
        <v>0</v>
      </c>
      <c r="FR31" s="54">
        <f t="shared" si="21"/>
        <v>0</v>
      </c>
      <c r="FS31" t="e">
        <f t="shared" si="22"/>
        <v>#DIV/0!</v>
      </c>
    </row>
    <row r="32" spans="2:175">
      <c r="E32" s="52"/>
      <c r="S32" s="52"/>
      <c r="T32" s="52"/>
      <c r="U32" s="52"/>
      <c r="V32" s="52"/>
      <c r="W32" s="52"/>
      <c r="X32" s="52"/>
      <c r="Y32" s="52"/>
      <c r="Z32" s="52"/>
    </row>
    <row r="33" spans="2:46" ht="42" customHeight="1">
      <c r="B33" s="3" t="s">
        <v>810</v>
      </c>
      <c r="C33" s="3" t="s">
        <v>445</v>
      </c>
      <c r="D33" s="3"/>
      <c r="E33" s="4"/>
      <c r="F33" s="4" t="s">
        <v>182</v>
      </c>
      <c r="G33" s="4" t="s">
        <v>182</v>
      </c>
      <c r="H33" s="4" t="s">
        <v>182</v>
      </c>
      <c r="I33" s="4" t="s">
        <v>182</v>
      </c>
      <c r="J33" s="4" t="s">
        <v>182</v>
      </c>
      <c r="K33" s="4" t="s">
        <v>182</v>
      </c>
      <c r="L33" s="4" t="s">
        <v>182</v>
      </c>
      <c r="M33" s="4" t="s">
        <v>182</v>
      </c>
      <c r="N33" s="4" t="s">
        <v>182</v>
      </c>
      <c r="O33" s="4" t="s">
        <v>182</v>
      </c>
      <c r="P33" s="4" t="s">
        <v>182</v>
      </c>
      <c r="Q33" s="4" t="s">
        <v>182</v>
      </c>
      <c r="R33" s="4" t="s">
        <v>182</v>
      </c>
      <c r="S33" s="4"/>
      <c r="T33" s="4"/>
      <c r="U33" s="4"/>
      <c r="V33" s="4"/>
      <c r="W33" s="4" t="s">
        <v>182</v>
      </c>
      <c r="X33" s="4" t="s">
        <v>182</v>
      </c>
      <c r="Y33" s="4" t="s">
        <v>182</v>
      </c>
      <c r="Z33" s="4" t="s">
        <v>182</v>
      </c>
      <c r="AA33" s="5"/>
      <c r="AB33" s="5"/>
      <c r="AC33" s="5"/>
      <c r="AD33" s="5"/>
      <c r="AE33" s="5"/>
      <c r="AF33" s="5"/>
      <c r="AG33" s="5"/>
      <c r="AH33" s="5"/>
      <c r="AI33" s="5"/>
      <c r="AJ33" s="5"/>
      <c r="AK33" s="5"/>
      <c r="AL33" s="5"/>
      <c r="AM33" s="5"/>
      <c r="AN33" s="5"/>
      <c r="AO33" s="14" t="s">
        <v>168</v>
      </c>
      <c r="AP33" s="44"/>
      <c r="AQ33" s="44"/>
      <c r="AR33" s="44"/>
      <c r="AS33" s="44"/>
      <c r="AT33" s="406"/>
    </row>
    <row r="34" spans="2:46" ht="42" customHeight="1">
      <c r="B34" s="3" t="s">
        <v>811</v>
      </c>
      <c r="C34" s="3" t="s">
        <v>445</v>
      </c>
      <c r="D34" s="3"/>
      <c r="E34" s="4"/>
      <c r="F34" s="4" t="s">
        <v>182</v>
      </c>
      <c r="G34" s="4" t="s">
        <v>182</v>
      </c>
      <c r="H34" s="4" t="s">
        <v>182</v>
      </c>
      <c r="I34" s="4" t="s">
        <v>182</v>
      </c>
      <c r="J34" s="4" t="s">
        <v>182</v>
      </c>
      <c r="K34" s="4" t="s">
        <v>182</v>
      </c>
      <c r="L34" s="4" t="s">
        <v>182</v>
      </c>
      <c r="M34" s="4" t="s">
        <v>182</v>
      </c>
      <c r="N34" s="4" t="s">
        <v>182</v>
      </c>
      <c r="O34" s="4" t="s">
        <v>182</v>
      </c>
      <c r="P34" s="4" t="s">
        <v>182</v>
      </c>
      <c r="Q34" s="4" t="s">
        <v>182</v>
      </c>
      <c r="R34" s="4" t="s">
        <v>182</v>
      </c>
      <c r="S34" s="4"/>
      <c r="T34" s="4"/>
      <c r="U34" s="4"/>
      <c r="V34" s="4"/>
      <c r="W34" s="4" t="s">
        <v>182</v>
      </c>
      <c r="X34" s="4" t="s">
        <v>182</v>
      </c>
      <c r="Y34" s="4" t="s">
        <v>182</v>
      </c>
      <c r="Z34" s="4" t="s">
        <v>182</v>
      </c>
      <c r="AA34" s="5"/>
      <c r="AB34" s="5"/>
      <c r="AC34" s="5"/>
      <c r="AD34" s="5"/>
      <c r="AE34" s="5"/>
      <c r="AF34" s="5"/>
      <c r="AG34" s="5"/>
      <c r="AH34" s="5"/>
      <c r="AI34" s="5"/>
      <c r="AJ34" s="5"/>
      <c r="AK34" s="5"/>
      <c r="AL34" s="5"/>
      <c r="AM34" s="5"/>
      <c r="AN34" s="5"/>
      <c r="AO34" s="14" t="s">
        <v>168</v>
      </c>
      <c r="AP34" s="44"/>
      <c r="AQ34" s="44"/>
      <c r="AR34" s="44"/>
      <c r="AS34" s="44"/>
      <c r="AT34" s="406"/>
    </row>
    <row r="35" spans="2:46" ht="42" customHeight="1">
      <c r="B35" s="3"/>
      <c r="C35" s="3"/>
      <c r="D35" s="3"/>
      <c r="E35" s="4"/>
      <c r="F35" s="4"/>
      <c r="G35" s="4"/>
      <c r="H35" s="4"/>
      <c r="I35" s="4"/>
      <c r="J35" s="4"/>
      <c r="K35" s="4"/>
      <c r="L35" s="4"/>
      <c r="M35" s="4"/>
      <c r="N35" s="4"/>
      <c r="O35" s="4"/>
      <c r="P35" s="4"/>
      <c r="Q35" s="4"/>
      <c r="R35" s="4"/>
      <c r="S35" s="4"/>
      <c r="T35" s="4"/>
      <c r="U35" s="4"/>
      <c r="V35" s="4"/>
      <c r="W35" s="4"/>
      <c r="X35" s="4"/>
      <c r="Y35" s="4"/>
      <c r="Z35" s="4"/>
      <c r="AA35" s="5"/>
      <c r="AB35" s="5"/>
      <c r="AC35" s="5"/>
      <c r="AD35" s="5"/>
      <c r="AE35" s="5"/>
      <c r="AF35" s="5"/>
      <c r="AG35" s="5"/>
      <c r="AH35" s="5"/>
      <c r="AI35" s="5"/>
      <c r="AJ35" s="5"/>
      <c r="AK35" s="5"/>
      <c r="AL35" s="5"/>
      <c r="AM35" s="5"/>
      <c r="AN35" s="5"/>
      <c r="AO35" s="14"/>
      <c r="AP35" s="44"/>
      <c r="AQ35" s="44"/>
      <c r="AR35" s="44"/>
      <c r="AS35" s="44"/>
      <c r="AT35" s="406"/>
    </row>
  </sheetData>
  <autoFilter ref="B9:FJ31" xr:uid="{F64FB2F4-DE92-4497-947E-392FFA06D7A7}"/>
  <sortState xmlns:xlrd2="http://schemas.microsoft.com/office/spreadsheetml/2017/richdata2" ref="B10:C26">
    <sortCondition ref="B10:B26"/>
  </sortState>
  <mergeCells count="2">
    <mergeCell ref="AC8:AD8"/>
    <mergeCell ref="AE8:AF8"/>
  </mergeCells>
  <phoneticPr fontId="10"/>
  <conditionalFormatting sqref="Z10:Z31">
    <cfRule type="cellIs" dxfId="961" priority="19" operator="lessThan">
      <formula>60</formula>
    </cfRule>
  </conditionalFormatting>
  <conditionalFormatting sqref="AV10:AV31">
    <cfRule type="cellIs" dxfId="960" priority="27" operator="equal">
      <formula>"×"</formula>
    </cfRule>
  </conditionalFormatting>
  <conditionalFormatting sqref="AY10:AY31">
    <cfRule type="cellIs" dxfId="959" priority="38" operator="lessThan">
      <formula>0.6</formula>
    </cfRule>
  </conditionalFormatting>
  <conditionalFormatting sqref="BB10:BB31">
    <cfRule type="cellIs" dxfId="958" priority="36" operator="greaterThan">
      <formula>8</formula>
    </cfRule>
  </conditionalFormatting>
  <conditionalFormatting sqref="BD10:BD11 BN10:BN31 BX10:BX31 CH10:CH31 CR10:CR31 DB10:DB31 DL10:DL31 DV10:DV31 EF10:EF31 EP10:EP31 EZ10:EZ31 FJ10:FJ31 BD13:BD31">
    <cfRule type="cellIs" dxfId="957" priority="37" operator="notEqual">
      <formula>BC10</formula>
    </cfRule>
  </conditionalFormatting>
  <conditionalFormatting sqref="BF10:BF31">
    <cfRule type="cellIs" dxfId="956" priority="26" operator="equal">
      <formula>"×"</formula>
    </cfRule>
  </conditionalFormatting>
  <conditionalFormatting sqref="BI10:BI31">
    <cfRule type="cellIs" dxfId="955" priority="29" operator="lessThan">
      <formula>0.6</formula>
    </cfRule>
  </conditionalFormatting>
  <conditionalFormatting sqref="BL10:BL31">
    <cfRule type="cellIs" dxfId="954" priority="28" operator="greaterThan">
      <formula>8</formula>
    </cfRule>
  </conditionalFormatting>
  <conditionalFormatting sqref="BP10:BP31">
    <cfRule type="cellIs" dxfId="953" priority="25" operator="equal">
      <formula>"×"</formula>
    </cfRule>
  </conditionalFormatting>
  <conditionalFormatting sqref="BS10:BS31">
    <cfRule type="cellIs" dxfId="952" priority="31" operator="lessThan">
      <formula>0.6</formula>
    </cfRule>
  </conditionalFormatting>
  <conditionalFormatting sqref="BV10:BV31">
    <cfRule type="cellIs" dxfId="951" priority="30" operator="greaterThan">
      <formula>8</formula>
    </cfRule>
  </conditionalFormatting>
  <conditionalFormatting sqref="BZ10:BZ31">
    <cfRule type="cellIs" dxfId="950" priority="24" operator="equal">
      <formula>"×"</formula>
    </cfRule>
  </conditionalFormatting>
  <conditionalFormatting sqref="CC10:CC31">
    <cfRule type="cellIs" dxfId="949" priority="33" operator="lessThan">
      <formula>0.6</formula>
    </cfRule>
  </conditionalFormatting>
  <conditionalFormatting sqref="CF10:CF31">
    <cfRule type="cellIs" dxfId="948" priority="32" operator="greaterThan">
      <formula>8</formula>
    </cfRule>
  </conditionalFormatting>
  <conditionalFormatting sqref="CJ10:CJ31">
    <cfRule type="cellIs" dxfId="947" priority="23" operator="equal">
      <formula>"×"</formula>
    </cfRule>
  </conditionalFormatting>
  <conditionalFormatting sqref="CM10:CM31">
    <cfRule type="cellIs" dxfId="946" priority="35" operator="lessThan">
      <formula>0.6</formula>
    </cfRule>
  </conditionalFormatting>
  <conditionalFormatting sqref="CP10:CP31">
    <cfRule type="cellIs" dxfId="945" priority="34" operator="greaterThan">
      <formula>8</formula>
    </cfRule>
  </conditionalFormatting>
  <conditionalFormatting sqref="CT10:CT31">
    <cfRule type="cellIs" dxfId="944" priority="20" operator="equal">
      <formula>"×"</formula>
    </cfRule>
  </conditionalFormatting>
  <conditionalFormatting sqref="CW10:CW31">
    <cfRule type="cellIs" dxfId="943" priority="22" operator="lessThan">
      <formula>0.6</formula>
    </cfRule>
  </conditionalFormatting>
  <conditionalFormatting sqref="CZ10:CZ31">
    <cfRule type="cellIs" dxfId="942" priority="21" operator="greaterThan">
      <formula>8</formula>
    </cfRule>
  </conditionalFormatting>
  <conditionalFormatting sqref="DD10:DD31">
    <cfRule type="cellIs" dxfId="941" priority="8" operator="equal">
      <formula>"×"</formula>
    </cfRule>
  </conditionalFormatting>
  <conditionalFormatting sqref="DG10:DG31">
    <cfRule type="cellIs" dxfId="940" priority="18" operator="lessThan">
      <formula>0.6</formula>
    </cfRule>
  </conditionalFormatting>
  <conditionalFormatting sqref="DJ10:DJ31">
    <cfRule type="cellIs" dxfId="939" priority="17" operator="greaterThan">
      <formula>8</formula>
    </cfRule>
  </conditionalFormatting>
  <conditionalFormatting sqref="DN10:DN31">
    <cfRule type="cellIs" dxfId="938" priority="7" operator="equal">
      <formula>"×"</formula>
    </cfRule>
  </conditionalFormatting>
  <conditionalFormatting sqref="DQ10:DQ31">
    <cfRule type="cellIs" dxfId="937" priority="10" operator="lessThan">
      <formula>0.6</formula>
    </cfRule>
  </conditionalFormatting>
  <conditionalFormatting sqref="DT10:DT31">
    <cfRule type="cellIs" dxfId="936" priority="9" operator="greaterThan">
      <formula>8</formula>
    </cfRule>
  </conditionalFormatting>
  <conditionalFormatting sqref="DX10:DX31">
    <cfRule type="cellIs" dxfId="935" priority="6" operator="equal">
      <formula>"×"</formula>
    </cfRule>
  </conditionalFormatting>
  <conditionalFormatting sqref="EA10:EA31">
    <cfRule type="cellIs" dxfId="934" priority="12" operator="lessThan">
      <formula>0.6</formula>
    </cfRule>
  </conditionalFormatting>
  <conditionalFormatting sqref="ED10:ED31">
    <cfRule type="cellIs" dxfId="933" priority="11" operator="greaterThan">
      <formula>8</formula>
    </cfRule>
  </conditionalFormatting>
  <conditionalFormatting sqref="EH10:EH31">
    <cfRule type="cellIs" dxfId="932" priority="5" operator="equal">
      <formula>"×"</formula>
    </cfRule>
  </conditionalFormatting>
  <conditionalFormatting sqref="EK10:EK31">
    <cfRule type="cellIs" dxfId="931" priority="14" operator="lessThan">
      <formula>0.6</formula>
    </cfRule>
  </conditionalFormatting>
  <conditionalFormatting sqref="EN10:EN31">
    <cfRule type="cellIs" dxfId="930" priority="13" operator="greaterThan">
      <formula>8</formula>
    </cfRule>
  </conditionalFormatting>
  <conditionalFormatting sqref="ER10:ER31">
    <cfRule type="cellIs" dxfId="929" priority="4" operator="equal">
      <formula>"×"</formula>
    </cfRule>
  </conditionalFormatting>
  <conditionalFormatting sqref="EU10:EU31">
    <cfRule type="cellIs" dxfId="928" priority="16" operator="lessThan">
      <formula>0.6</formula>
    </cfRule>
  </conditionalFormatting>
  <conditionalFormatting sqref="EX10:EX31">
    <cfRule type="cellIs" dxfId="927" priority="15" operator="greaterThan">
      <formula>8</formula>
    </cfRule>
  </conditionalFormatting>
  <conditionalFormatting sqref="FB10:FB31">
    <cfRule type="cellIs" dxfId="926" priority="1" operator="equal">
      <formula>"×"</formula>
    </cfRule>
  </conditionalFormatting>
  <conditionalFormatting sqref="FE10:FE31">
    <cfRule type="cellIs" dxfId="925" priority="3" operator="lessThan">
      <formula>0.6</formula>
    </cfRule>
  </conditionalFormatting>
  <conditionalFormatting sqref="FH10:FH31">
    <cfRule type="cellIs" dxfId="924" priority="2" operator="greaterThan">
      <formula>8</formula>
    </cfRule>
  </conditionalFormatting>
  <dataValidations count="3">
    <dataValidation type="list" allowBlank="1" showInputMessage="1" showErrorMessage="1" sqref="BF10:BF31 BP10:BP31 BZ10:BZ31 CJ10:CJ31 CT10:CT31 DD10:DD31 FB10:FB31 AV10:AV31 ER10:ER31 EH10:EH31 DX10:DX31 DN10:DN31" xr:uid="{68925B49-D5DA-4FC8-ABA2-717ED3F067E6}">
      <formula1>"○,×"</formula1>
    </dataValidation>
    <dataValidation type="list" allowBlank="1" showInputMessage="1" showErrorMessage="1" sqref="AO35:AP35 AO29:AP31 AQ10:AS31 AE27:AE28 AE11 AE14 AE16:AE17 AE19:AE20 AE22 AQ33:AT35 AC25 AC21 AC15" xr:uid="{99E68862-CA52-4AC7-84D5-C89CA37244E6}">
      <formula1>"○,△,×"</formula1>
    </dataValidation>
    <dataValidation type="list" allowBlank="1" showInputMessage="1" showErrorMessage="1" sqref="AO10:AP28 AO33:AP34" xr:uid="{87C3AE14-A297-4A7B-8542-0E0FB53FDAC7}">
      <formula1>"○,△,×,◎"</formula1>
    </dataValidation>
  </dataValidation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BEA3-DEC3-43F3-BE17-1F6447BD0473}">
  <sheetPr filterMode="1"/>
  <dimension ref="B2:FP35"/>
  <sheetViews>
    <sheetView showGridLines="0" zoomScale="60" zoomScaleNormal="60" workbookViewId="0">
      <pane xSplit="5" ySplit="9" topLeftCell="AK27" activePane="bottomRight" state="frozen"/>
      <selection pane="bottomRight" activeCell="AK12" sqref="AK12"/>
      <selection pane="bottomLeft" activeCell="A10" sqref="A10"/>
      <selection pane="topRight" activeCell="F1" sqref="F1"/>
    </sheetView>
  </sheetViews>
  <sheetFormatPr defaultColWidth="8.7109375" defaultRowHeight="11.1" outlineLevelCol="1"/>
  <cols>
    <col min="1" max="1" width="2.5703125" customWidth="1"/>
    <col min="2" max="2" width="24.42578125" bestFit="1" customWidth="1"/>
    <col min="3" max="3" width="8.140625" bestFit="1" customWidth="1"/>
    <col min="4" max="4" width="8.140625" customWidth="1"/>
    <col min="5" max="5" width="7.85546875" customWidth="1"/>
    <col min="6" max="17" width="6.85546875" customWidth="1" outlineLevel="1"/>
    <col min="18" max="18" width="10.140625" customWidth="1" outlineLevel="1"/>
    <col min="19" max="22" width="7.85546875" customWidth="1" outlineLevel="1"/>
    <col min="23" max="24" width="7.85546875" customWidth="1"/>
    <col min="25" max="25" width="8.7109375" customWidth="1"/>
    <col min="26" max="26" width="11.7109375" customWidth="1"/>
    <col min="27" max="28" width="35.42578125" customWidth="1"/>
    <col min="29" max="29" width="10.140625" customWidth="1"/>
    <col min="30" max="30" width="35.42578125" style="99" customWidth="1"/>
    <col min="31" max="31" width="9.140625" customWidth="1"/>
    <col min="32" max="32" width="43.7109375" customWidth="1"/>
    <col min="33" max="33" width="13" bestFit="1" customWidth="1"/>
    <col min="34" max="34" width="13.42578125" bestFit="1" customWidth="1"/>
    <col min="35" max="35" width="10.42578125" bestFit="1" customWidth="1"/>
    <col min="36" max="36" width="13.42578125" bestFit="1" customWidth="1"/>
    <col min="37" max="37" width="9.7109375" bestFit="1" customWidth="1"/>
    <col min="38" max="38" width="61" style="99" customWidth="1"/>
    <col min="39" max="39" width="56.42578125" style="99" customWidth="1"/>
    <col min="40" max="40" width="10.5703125" bestFit="1" customWidth="1"/>
    <col min="41" max="45" width="11" customWidth="1"/>
    <col min="46" max="46" width="35.42578125" customWidth="1"/>
    <col min="47" max="166" width="10.5703125" customWidth="1"/>
  </cols>
  <sheetData>
    <row r="2" spans="2:172" ht="15">
      <c r="B2" s="25" t="s">
        <v>113</v>
      </c>
      <c r="C2" s="25"/>
      <c r="D2" s="25"/>
      <c r="E2" s="25"/>
      <c r="F2" s="32" t="s">
        <v>114</v>
      </c>
      <c r="G2" s="16"/>
      <c r="H2" s="16"/>
      <c r="I2" s="16"/>
      <c r="J2" s="16"/>
      <c r="K2" s="16"/>
      <c r="L2" s="70"/>
      <c r="M2" s="16"/>
      <c r="N2" s="16"/>
      <c r="O2" s="71"/>
      <c r="P2" s="1"/>
      <c r="S2" s="25"/>
      <c r="T2" s="25"/>
      <c r="U2" s="25"/>
      <c r="V2" s="25"/>
      <c r="W2" s="25"/>
      <c r="X2" s="25"/>
      <c r="Y2" s="25"/>
      <c r="Z2" s="25"/>
      <c r="AB2" s="54"/>
      <c r="AC2" s="54"/>
      <c r="AD2" s="340"/>
      <c r="AE2" s="54"/>
      <c r="AF2" s="54" t="s">
        <v>187</v>
      </c>
      <c r="AG2" s="54"/>
      <c r="AH2" s="54"/>
      <c r="AI2" s="54"/>
      <c r="AJ2" s="54"/>
      <c r="AK2" s="54"/>
      <c r="AL2" s="340"/>
      <c r="AM2" s="340"/>
      <c r="AN2" s="54"/>
    </row>
    <row r="3" spans="2:172">
      <c r="B3" s="24" t="s">
        <v>812</v>
      </c>
      <c r="F3" s="1" t="s">
        <v>14</v>
      </c>
      <c r="H3" s="24" t="s">
        <v>116</v>
      </c>
      <c r="N3" s="24"/>
      <c r="O3" s="72"/>
      <c r="P3" s="1"/>
      <c r="Q3" t="s">
        <v>189</v>
      </c>
      <c r="AB3" s="54"/>
      <c r="AC3" s="54"/>
      <c r="AD3" s="340"/>
      <c r="AE3" s="54"/>
      <c r="AF3" s="54" t="s">
        <v>190</v>
      </c>
      <c r="AG3" s="54"/>
      <c r="AH3" s="54"/>
      <c r="AI3" s="54"/>
      <c r="AJ3" s="54"/>
      <c r="AK3" s="54"/>
      <c r="AL3" s="340"/>
      <c r="AM3" s="340"/>
      <c r="AN3" s="54"/>
    </row>
    <row r="4" spans="2:172">
      <c r="F4" s="34"/>
      <c r="H4" s="24" t="s">
        <v>117</v>
      </c>
      <c r="L4" s="24"/>
      <c r="N4" s="24"/>
      <c r="O4" s="72"/>
      <c r="P4" s="1"/>
      <c r="Q4" t="s">
        <v>191</v>
      </c>
      <c r="AF4" t="s">
        <v>192</v>
      </c>
    </row>
    <row r="5" spans="2:172">
      <c r="F5" s="34" t="s">
        <v>15</v>
      </c>
      <c r="H5" s="24" t="s">
        <v>118</v>
      </c>
      <c r="L5" s="24"/>
      <c r="N5" s="24"/>
      <c r="O5" s="72"/>
      <c r="P5" s="1"/>
      <c r="Q5" t="s">
        <v>193</v>
      </c>
      <c r="AF5" t="s">
        <v>194</v>
      </c>
    </row>
    <row r="6" spans="2:172" ht="12.6">
      <c r="B6" s="79" t="s">
        <v>813</v>
      </c>
      <c r="F6" s="2"/>
      <c r="G6" s="22"/>
      <c r="H6" s="22" t="s">
        <v>119</v>
      </c>
      <c r="I6" s="17"/>
      <c r="J6" s="17"/>
      <c r="K6" s="17"/>
      <c r="L6" s="17"/>
      <c r="M6" s="22"/>
      <c r="N6" s="22"/>
      <c r="O6" s="73"/>
      <c r="P6" s="1"/>
      <c r="AF6" t="s">
        <v>196</v>
      </c>
      <c r="AU6" s="10" t="s">
        <v>120</v>
      </c>
      <c r="AV6" s="51"/>
      <c r="AW6" s="11"/>
      <c r="AX6" s="11"/>
      <c r="AY6" s="11"/>
      <c r="AZ6" s="11"/>
      <c r="BA6" s="11"/>
      <c r="BB6" s="11"/>
      <c r="BC6" s="11"/>
      <c r="BD6" s="12"/>
      <c r="BE6" s="43" t="s">
        <v>121</v>
      </c>
      <c r="BF6" s="51"/>
      <c r="BG6" s="11"/>
      <c r="BH6" s="11"/>
      <c r="BI6" s="11"/>
      <c r="BJ6" s="11"/>
      <c r="BK6" s="11"/>
      <c r="BL6" s="11"/>
      <c r="BM6" s="11"/>
      <c r="BN6" s="12"/>
      <c r="BO6" s="43" t="s">
        <v>122</v>
      </c>
      <c r="BP6" s="51"/>
      <c r="BQ6" s="11"/>
      <c r="BR6" s="11"/>
      <c r="BS6" s="11"/>
      <c r="BT6" s="11"/>
      <c r="BU6" s="11"/>
      <c r="BV6" s="11"/>
      <c r="BW6" s="11"/>
      <c r="BX6" s="12"/>
      <c r="BY6" s="43" t="s">
        <v>123</v>
      </c>
      <c r="BZ6" s="51"/>
      <c r="CA6" s="11"/>
      <c r="CB6" s="11"/>
      <c r="CC6" s="11"/>
      <c r="CD6" s="11"/>
      <c r="CE6" s="11"/>
      <c r="CF6" s="11"/>
      <c r="CG6" s="11"/>
      <c r="CH6" s="12"/>
      <c r="CI6" s="43" t="s">
        <v>124</v>
      </c>
      <c r="CJ6" s="51"/>
      <c r="CK6" s="11"/>
      <c r="CL6" s="11"/>
      <c r="CM6" s="11"/>
      <c r="CN6" s="11"/>
      <c r="CO6" s="11"/>
      <c r="CP6" s="11"/>
      <c r="CQ6" s="11"/>
      <c r="CR6" s="12"/>
      <c r="CS6" s="43" t="s">
        <v>125</v>
      </c>
      <c r="CT6" s="51"/>
      <c r="CU6" s="11"/>
      <c r="CV6" s="11"/>
      <c r="CW6" s="11"/>
      <c r="CX6" s="11"/>
      <c r="CY6" s="11"/>
      <c r="CZ6" s="11"/>
      <c r="DA6" s="11"/>
      <c r="DB6" s="12"/>
      <c r="DC6" s="43" t="s">
        <v>126</v>
      </c>
      <c r="DD6" s="51"/>
      <c r="DE6" s="11"/>
      <c r="DF6" s="11"/>
      <c r="DG6" s="11"/>
      <c r="DH6" s="11"/>
      <c r="DI6" s="11"/>
      <c r="DJ6" s="11"/>
      <c r="DK6" s="11"/>
      <c r="DL6" s="12"/>
      <c r="DM6" s="43" t="s">
        <v>127</v>
      </c>
      <c r="DN6" s="51"/>
      <c r="DO6" s="11"/>
      <c r="DP6" s="11"/>
      <c r="DQ6" s="11"/>
      <c r="DR6" s="11"/>
      <c r="DS6" s="11"/>
      <c r="DT6" s="11"/>
      <c r="DU6" s="11"/>
      <c r="DV6" s="12"/>
      <c r="DW6" s="43" t="s">
        <v>128</v>
      </c>
      <c r="DX6" s="51"/>
      <c r="DY6" s="11"/>
      <c r="DZ6" s="11"/>
      <c r="EA6" s="11"/>
      <c r="EB6" s="11"/>
      <c r="EC6" s="11"/>
      <c r="ED6" s="11"/>
      <c r="EE6" s="11"/>
      <c r="EF6" s="12"/>
      <c r="EG6" s="43" t="s">
        <v>129</v>
      </c>
      <c r="EH6" s="51"/>
      <c r="EI6" s="11"/>
      <c r="EJ6" s="11"/>
      <c r="EK6" s="11"/>
      <c r="EL6" s="11"/>
      <c r="EM6" s="11"/>
      <c r="EN6" s="11"/>
      <c r="EO6" s="11"/>
      <c r="EP6" s="12"/>
      <c r="EQ6" s="43" t="s">
        <v>130</v>
      </c>
      <c r="ER6" s="51"/>
      <c r="ES6" s="11"/>
      <c r="ET6" s="11"/>
      <c r="EU6" s="11"/>
      <c r="EV6" s="11"/>
      <c r="EW6" s="11"/>
      <c r="EX6" s="11"/>
      <c r="EY6" s="11"/>
      <c r="EZ6" s="12"/>
      <c r="FA6" s="43" t="s">
        <v>131</v>
      </c>
      <c r="FB6" s="51"/>
      <c r="FC6" s="11"/>
      <c r="FD6" s="11"/>
      <c r="FE6" s="11"/>
      <c r="FF6" s="11"/>
      <c r="FG6" s="11"/>
      <c r="FH6" s="11"/>
      <c r="FI6" s="11"/>
      <c r="FJ6" s="12"/>
    </row>
    <row r="7" spans="2:172">
      <c r="AH7" s="296">
        <f>AVERAGE(AH10:AH28)</f>
        <v>0.79479972751331363</v>
      </c>
      <c r="AI7" s="206">
        <f>AVERAGE(AI10:AI28)</f>
        <v>24.778372092368731</v>
      </c>
      <c r="AP7">
        <f>COUNTIF(AP10:AP50,"○")</f>
        <v>1</v>
      </c>
      <c r="AQ7">
        <f>COUNTIF(AQ10:AQ50,"○")</f>
        <v>3</v>
      </c>
      <c r="AR7">
        <f>COUNTIF(AR10:AR50,"○")</f>
        <v>1</v>
      </c>
      <c r="AS7">
        <f>COUNTIF(AS10:AS50,"○")</f>
        <v>14</v>
      </c>
      <c r="AU7" s="18" t="s">
        <v>132</v>
      </c>
      <c r="AV7" s="12"/>
      <c r="AW7" s="18" t="s">
        <v>14</v>
      </c>
      <c r="AX7" s="11"/>
      <c r="AY7" s="12"/>
      <c r="AZ7" s="18" t="s">
        <v>15</v>
      </c>
      <c r="BA7" s="11"/>
      <c r="BB7" s="11"/>
      <c r="BC7" s="11"/>
      <c r="BD7" s="12"/>
      <c r="BE7" s="18" t="s">
        <v>132</v>
      </c>
      <c r="BF7" s="12"/>
      <c r="BG7" s="18" t="s">
        <v>14</v>
      </c>
      <c r="BH7" s="11"/>
      <c r="BI7" s="12"/>
      <c r="BJ7" s="18" t="s">
        <v>15</v>
      </c>
      <c r="BK7" s="11"/>
      <c r="BL7" s="11"/>
      <c r="BM7" s="11"/>
      <c r="BN7" s="12"/>
      <c r="BO7" s="18" t="s">
        <v>132</v>
      </c>
      <c r="BP7" s="12"/>
      <c r="BQ7" s="18" t="s">
        <v>14</v>
      </c>
      <c r="BR7" s="11"/>
      <c r="BS7" s="12"/>
      <c r="BT7" s="18" t="s">
        <v>15</v>
      </c>
      <c r="BU7" s="11"/>
      <c r="BV7" s="11"/>
      <c r="BW7" s="11"/>
      <c r="BX7" s="12"/>
      <c r="BY7" s="18" t="s">
        <v>132</v>
      </c>
      <c r="BZ7" s="12"/>
      <c r="CA7" s="18" t="s">
        <v>14</v>
      </c>
      <c r="CB7" s="11"/>
      <c r="CC7" s="12"/>
      <c r="CD7" s="18" t="s">
        <v>15</v>
      </c>
      <c r="CE7" s="11"/>
      <c r="CF7" s="11"/>
      <c r="CG7" s="11"/>
      <c r="CH7" s="12"/>
      <c r="CI7" s="18" t="s">
        <v>132</v>
      </c>
      <c r="CJ7" s="12"/>
      <c r="CK7" s="18" t="s">
        <v>14</v>
      </c>
      <c r="CL7" s="11"/>
      <c r="CM7" s="12"/>
      <c r="CN7" s="18" t="s">
        <v>15</v>
      </c>
      <c r="CO7" s="11"/>
      <c r="CP7" s="11"/>
      <c r="CQ7" s="11"/>
      <c r="CR7" s="12"/>
      <c r="CS7" s="18" t="s">
        <v>132</v>
      </c>
      <c r="CT7" s="12"/>
      <c r="CU7" s="18" t="s">
        <v>14</v>
      </c>
      <c r="CV7" s="11"/>
      <c r="CW7" s="12"/>
      <c r="CX7" s="18" t="s">
        <v>15</v>
      </c>
      <c r="CY7" s="11"/>
      <c r="CZ7" s="11"/>
      <c r="DA7" s="11"/>
      <c r="DB7" s="12"/>
      <c r="DC7" s="18" t="s">
        <v>132</v>
      </c>
      <c r="DD7" s="12"/>
      <c r="DE7" s="18" t="s">
        <v>14</v>
      </c>
      <c r="DF7" s="11"/>
      <c r="DG7" s="12"/>
      <c r="DH7" s="18" t="s">
        <v>15</v>
      </c>
      <c r="DI7" s="11"/>
      <c r="DJ7" s="11"/>
      <c r="DK7" s="11"/>
      <c r="DL7" s="12"/>
      <c r="DM7" s="18" t="s">
        <v>132</v>
      </c>
      <c r="DN7" s="12"/>
      <c r="DO7" s="18" t="s">
        <v>14</v>
      </c>
      <c r="DP7" s="11"/>
      <c r="DQ7" s="12"/>
      <c r="DR7" s="18" t="s">
        <v>15</v>
      </c>
      <c r="DS7" s="11"/>
      <c r="DT7" s="11"/>
      <c r="DU7" s="11"/>
      <c r="DV7" s="12"/>
      <c r="DW7" s="18" t="s">
        <v>132</v>
      </c>
      <c r="DX7" s="12"/>
      <c r="DY7" s="18" t="s">
        <v>14</v>
      </c>
      <c r="DZ7" s="11"/>
      <c r="EA7" s="12"/>
      <c r="EB7" s="18" t="s">
        <v>15</v>
      </c>
      <c r="EC7" s="11"/>
      <c r="ED7" s="11"/>
      <c r="EE7" s="11"/>
      <c r="EF7" s="12"/>
      <c r="EG7" s="18" t="s">
        <v>132</v>
      </c>
      <c r="EH7" s="12"/>
      <c r="EI7" s="18" t="s">
        <v>14</v>
      </c>
      <c r="EJ7" s="11"/>
      <c r="EK7" s="12"/>
      <c r="EL7" s="18" t="s">
        <v>15</v>
      </c>
      <c r="EM7" s="11"/>
      <c r="EN7" s="11"/>
      <c r="EO7" s="11"/>
      <c r="EP7" s="12"/>
      <c r="EQ7" s="18" t="s">
        <v>132</v>
      </c>
      <c r="ER7" s="12"/>
      <c r="ES7" s="18" t="s">
        <v>14</v>
      </c>
      <c r="ET7" s="11"/>
      <c r="EU7" s="12"/>
      <c r="EV7" s="18" t="s">
        <v>15</v>
      </c>
      <c r="EW7" s="11"/>
      <c r="EX7" s="11"/>
      <c r="EY7" s="11"/>
      <c r="EZ7" s="12"/>
      <c r="FA7" s="18" t="s">
        <v>132</v>
      </c>
      <c r="FB7" s="12"/>
      <c r="FC7" s="18" t="s">
        <v>14</v>
      </c>
      <c r="FD7" s="11"/>
      <c r="FE7" s="12"/>
      <c r="FF7" s="18" t="s">
        <v>15</v>
      </c>
      <c r="FG7" s="11"/>
      <c r="FH7" s="11"/>
      <c r="FI7" s="11"/>
      <c r="FJ7" s="12"/>
    </row>
    <row r="8" spans="2:172">
      <c r="B8" s="7"/>
      <c r="C8" s="10"/>
      <c r="D8" s="10"/>
      <c r="E8" s="10"/>
      <c r="F8" s="59" t="s">
        <v>133</v>
      </c>
      <c r="G8" s="11"/>
      <c r="H8" s="11"/>
      <c r="I8" s="11"/>
      <c r="J8" s="11"/>
      <c r="K8" s="11"/>
      <c r="L8" s="74"/>
      <c r="M8" s="11"/>
      <c r="N8" s="11"/>
      <c r="O8" s="11"/>
      <c r="P8" s="11"/>
      <c r="Q8" s="11"/>
      <c r="R8" s="11"/>
      <c r="S8" s="11"/>
      <c r="T8" s="11"/>
      <c r="U8" s="11"/>
      <c r="V8" s="12"/>
      <c r="W8" s="57"/>
      <c r="X8" s="58"/>
      <c r="Y8" s="58"/>
      <c r="Z8" s="56"/>
      <c r="AA8" s="31" t="s">
        <v>134</v>
      </c>
      <c r="AB8" s="31" t="s">
        <v>135</v>
      </c>
      <c r="AC8" s="531" t="s">
        <v>197</v>
      </c>
      <c r="AD8" s="532"/>
      <c r="AE8" s="531" t="s">
        <v>198</v>
      </c>
      <c r="AF8" s="531"/>
      <c r="AG8" s="46"/>
      <c r="AH8" s="46"/>
      <c r="AI8" s="46"/>
      <c r="AJ8" s="46"/>
      <c r="AK8" s="46"/>
      <c r="AL8" s="45"/>
      <c r="AM8" s="45"/>
      <c r="AN8" s="45"/>
      <c r="AO8" s="45"/>
      <c r="AP8" s="45"/>
      <c r="AQ8" s="45"/>
      <c r="AR8" s="45"/>
      <c r="AS8" s="45"/>
      <c r="AT8" s="46"/>
      <c r="AU8" s="13"/>
      <c r="AV8" s="7"/>
      <c r="AW8" s="19" t="s">
        <v>116</v>
      </c>
      <c r="AX8" s="41"/>
      <c r="AY8" s="39"/>
      <c r="AZ8" s="40" t="s">
        <v>136</v>
      </c>
      <c r="BA8" s="38"/>
      <c r="BB8" s="39"/>
      <c r="BC8" s="19" t="s">
        <v>137</v>
      </c>
      <c r="BD8" s="15"/>
      <c r="BE8" s="13"/>
      <c r="BF8" s="7"/>
      <c r="BG8" s="19" t="s">
        <v>116</v>
      </c>
      <c r="BH8" s="41"/>
      <c r="BI8" s="39"/>
      <c r="BJ8" s="40" t="s">
        <v>136</v>
      </c>
      <c r="BK8" s="38"/>
      <c r="BL8" s="39"/>
      <c r="BM8" s="19" t="s">
        <v>137</v>
      </c>
      <c r="BN8" s="15"/>
      <c r="BO8" s="13"/>
      <c r="BP8" s="7"/>
      <c r="BQ8" s="19" t="s">
        <v>116</v>
      </c>
      <c r="BR8" s="41"/>
      <c r="BS8" s="39"/>
      <c r="BT8" s="40" t="s">
        <v>136</v>
      </c>
      <c r="BU8" s="38"/>
      <c r="BV8" s="39"/>
      <c r="BW8" s="19" t="s">
        <v>137</v>
      </c>
      <c r="BX8" s="15"/>
      <c r="BY8" s="13"/>
      <c r="BZ8" s="7"/>
      <c r="CA8" s="19" t="s">
        <v>116</v>
      </c>
      <c r="CB8" s="41"/>
      <c r="CC8" s="39"/>
      <c r="CD8" s="40" t="s">
        <v>136</v>
      </c>
      <c r="CE8" s="38"/>
      <c r="CF8" s="39"/>
      <c r="CG8" s="19" t="s">
        <v>137</v>
      </c>
      <c r="CH8" s="15"/>
      <c r="CI8" s="13"/>
      <c r="CJ8" s="7"/>
      <c r="CK8" s="19" t="s">
        <v>116</v>
      </c>
      <c r="CL8" s="41"/>
      <c r="CM8" s="39"/>
      <c r="CN8" s="40" t="s">
        <v>136</v>
      </c>
      <c r="CO8" s="38"/>
      <c r="CP8" s="39"/>
      <c r="CQ8" s="19" t="s">
        <v>137</v>
      </c>
      <c r="CR8" s="15"/>
      <c r="CS8" s="13"/>
      <c r="CT8" s="7"/>
      <c r="CU8" s="19" t="s">
        <v>116</v>
      </c>
      <c r="CV8" s="41"/>
      <c r="CW8" s="39"/>
      <c r="CX8" s="40" t="s">
        <v>136</v>
      </c>
      <c r="CY8" s="38"/>
      <c r="CZ8" s="39"/>
      <c r="DA8" s="19" t="s">
        <v>137</v>
      </c>
      <c r="DB8" s="15"/>
      <c r="DC8" s="13"/>
      <c r="DD8" s="7"/>
      <c r="DE8" s="19" t="s">
        <v>116</v>
      </c>
      <c r="DF8" s="41"/>
      <c r="DG8" s="39"/>
      <c r="DH8" s="40" t="s">
        <v>136</v>
      </c>
      <c r="DI8" s="38"/>
      <c r="DJ8" s="39"/>
      <c r="DK8" s="19" t="s">
        <v>137</v>
      </c>
      <c r="DL8" s="15"/>
      <c r="DM8" s="13"/>
      <c r="DN8" s="7"/>
      <c r="DO8" s="19" t="s">
        <v>116</v>
      </c>
      <c r="DP8" s="41"/>
      <c r="DQ8" s="39"/>
      <c r="DR8" s="40" t="s">
        <v>136</v>
      </c>
      <c r="DS8" s="38"/>
      <c r="DT8" s="39"/>
      <c r="DU8" s="19" t="s">
        <v>137</v>
      </c>
      <c r="DV8" s="15"/>
      <c r="DW8" s="13"/>
      <c r="DX8" s="7"/>
      <c r="DY8" s="19" t="s">
        <v>116</v>
      </c>
      <c r="DZ8" s="41"/>
      <c r="EA8" s="39"/>
      <c r="EB8" s="40" t="s">
        <v>136</v>
      </c>
      <c r="EC8" s="38"/>
      <c r="ED8" s="39"/>
      <c r="EE8" s="19" t="s">
        <v>137</v>
      </c>
      <c r="EF8" s="15"/>
      <c r="EG8" s="13"/>
      <c r="EH8" s="7"/>
      <c r="EI8" s="19" t="s">
        <v>116</v>
      </c>
      <c r="EJ8" s="41"/>
      <c r="EK8" s="39"/>
      <c r="EL8" s="40" t="s">
        <v>136</v>
      </c>
      <c r="EM8" s="38"/>
      <c r="EN8" s="39"/>
      <c r="EO8" s="19" t="s">
        <v>137</v>
      </c>
      <c r="EP8" s="15"/>
      <c r="EQ8" s="13"/>
      <c r="ER8" s="7"/>
      <c r="ES8" s="19" t="s">
        <v>116</v>
      </c>
      <c r="ET8" s="41"/>
      <c r="EU8" s="39"/>
      <c r="EV8" s="40" t="s">
        <v>136</v>
      </c>
      <c r="EW8" s="38"/>
      <c r="EX8" s="39"/>
      <c r="EY8" s="19" t="s">
        <v>137</v>
      </c>
      <c r="EZ8" s="15"/>
      <c r="FA8" s="13"/>
      <c r="FB8" s="7"/>
      <c r="FC8" s="19" t="s">
        <v>116</v>
      </c>
      <c r="FD8" s="41"/>
      <c r="FE8" s="39"/>
      <c r="FF8" s="40" t="s">
        <v>136</v>
      </c>
      <c r="FG8" s="38"/>
      <c r="FH8" s="39"/>
      <c r="FI8" s="19" t="s">
        <v>137</v>
      </c>
      <c r="FJ8" s="15"/>
      <c r="FM8" s="54">
        <f>SUM(FM10:FM31)</f>
        <v>69.516499999999979</v>
      </c>
      <c r="FN8" s="54">
        <f>SUM(FN10:FN31)</f>
        <v>412</v>
      </c>
      <c r="FO8" s="54">
        <f t="shared" ref="FO8:FP8" si="0">SUM(FO10:FO31)</f>
        <v>2819.8999999999996</v>
      </c>
      <c r="FP8" s="54">
        <f t="shared" si="0"/>
        <v>3109.75</v>
      </c>
    </row>
    <row r="9" spans="2:172" ht="44.1">
      <c r="B9" s="8" t="s">
        <v>138</v>
      </c>
      <c r="C9" s="26" t="s">
        <v>139</v>
      </c>
      <c r="D9" s="26" t="s">
        <v>199</v>
      </c>
      <c r="E9" s="30" t="s">
        <v>140</v>
      </c>
      <c r="F9" s="122">
        <v>1</v>
      </c>
      <c r="G9" s="122">
        <v>2</v>
      </c>
      <c r="H9" s="122">
        <v>3</v>
      </c>
      <c r="I9" s="122">
        <v>4</v>
      </c>
      <c r="J9" s="122">
        <v>5</v>
      </c>
      <c r="K9" s="122">
        <v>6</v>
      </c>
      <c r="L9" s="122">
        <v>7</v>
      </c>
      <c r="M9" s="122">
        <v>8</v>
      </c>
      <c r="N9" s="122">
        <v>9</v>
      </c>
      <c r="O9" s="122">
        <v>10</v>
      </c>
      <c r="P9" s="122">
        <v>11</v>
      </c>
      <c r="Q9" s="122">
        <v>12</v>
      </c>
      <c r="R9" s="50" t="s">
        <v>145</v>
      </c>
      <c r="S9" s="30" t="s">
        <v>200</v>
      </c>
      <c r="T9" s="30" t="s">
        <v>201</v>
      </c>
      <c r="U9" s="30" t="s">
        <v>202</v>
      </c>
      <c r="V9" s="30" t="s">
        <v>13</v>
      </c>
      <c r="W9" s="53" t="s">
        <v>148</v>
      </c>
      <c r="X9" s="53" t="s">
        <v>149</v>
      </c>
      <c r="Y9" s="53" t="s">
        <v>150</v>
      </c>
      <c r="Z9" s="53" t="s">
        <v>151</v>
      </c>
      <c r="AA9" s="30" t="s">
        <v>152</v>
      </c>
      <c r="AB9" s="30"/>
      <c r="AC9" s="183" t="s">
        <v>203</v>
      </c>
      <c r="AD9" s="183" t="s">
        <v>204</v>
      </c>
      <c r="AE9" s="183" t="s">
        <v>203</v>
      </c>
      <c r="AF9" s="183" t="s">
        <v>204</v>
      </c>
      <c r="AG9" s="125" t="s">
        <v>205</v>
      </c>
      <c r="AH9" s="125" t="s">
        <v>206</v>
      </c>
      <c r="AI9" s="125" t="s">
        <v>207</v>
      </c>
      <c r="AJ9" s="125" t="s">
        <v>208</v>
      </c>
      <c r="AK9" s="125" t="s">
        <v>209</v>
      </c>
      <c r="AL9" s="125" t="s">
        <v>210</v>
      </c>
      <c r="AM9" s="125" t="s">
        <v>211</v>
      </c>
      <c r="AN9" s="125" t="s">
        <v>212</v>
      </c>
      <c r="AO9" s="47" t="s">
        <v>153</v>
      </c>
      <c r="AP9" s="125" t="s">
        <v>214</v>
      </c>
      <c r="AQ9" s="125" t="s">
        <v>215</v>
      </c>
      <c r="AR9" s="125" t="s">
        <v>216</v>
      </c>
      <c r="AS9" s="47" t="s">
        <v>450</v>
      </c>
      <c r="AT9" s="48" t="s">
        <v>154</v>
      </c>
      <c r="AU9" s="35" t="s">
        <v>155</v>
      </c>
      <c r="AV9" s="26" t="s">
        <v>156</v>
      </c>
      <c r="AW9" s="20" t="s">
        <v>157</v>
      </c>
      <c r="AX9" s="21" t="s">
        <v>165</v>
      </c>
      <c r="AY9" s="23" t="s">
        <v>159</v>
      </c>
      <c r="AZ9" s="21" t="s">
        <v>160</v>
      </c>
      <c r="BA9" s="21" t="s">
        <v>161</v>
      </c>
      <c r="BB9" s="21" t="s">
        <v>162</v>
      </c>
      <c r="BC9" s="21" t="s">
        <v>163</v>
      </c>
      <c r="BD9" s="23" t="s">
        <v>164</v>
      </c>
      <c r="BE9" s="35" t="s">
        <v>155</v>
      </c>
      <c r="BF9" s="26" t="s">
        <v>156</v>
      </c>
      <c r="BG9" s="20" t="s">
        <v>157</v>
      </c>
      <c r="BH9" s="21" t="s">
        <v>165</v>
      </c>
      <c r="BI9" s="23" t="s">
        <v>159</v>
      </c>
      <c r="BJ9" s="21" t="s">
        <v>160</v>
      </c>
      <c r="BK9" s="21" t="s">
        <v>161</v>
      </c>
      <c r="BL9" s="21" t="s">
        <v>162</v>
      </c>
      <c r="BM9" s="21" t="s">
        <v>163</v>
      </c>
      <c r="BN9" s="23" t="s">
        <v>164</v>
      </c>
      <c r="BO9" s="35" t="s">
        <v>155</v>
      </c>
      <c r="BP9" s="26" t="s">
        <v>156</v>
      </c>
      <c r="BQ9" s="20" t="s">
        <v>157</v>
      </c>
      <c r="BR9" s="21" t="s">
        <v>165</v>
      </c>
      <c r="BS9" s="23" t="s">
        <v>159</v>
      </c>
      <c r="BT9" s="21" t="s">
        <v>160</v>
      </c>
      <c r="BU9" s="21" t="s">
        <v>161</v>
      </c>
      <c r="BV9" s="21" t="s">
        <v>162</v>
      </c>
      <c r="BW9" s="21" t="s">
        <v>163</v>
      </c>
      <c r="BX9" s="23" t="s">
        <v>164</v>
      </c>
      <c r="BY9" s="35" t="s">
        <v>155</v>
      </c>
      <c r="BZ9" s="26" t="s">
        <v>156</v>
      </c>
      <c r="CA9" s="20" t="s">
        <v>157</v>
      </c>
      <c r="CB9" s="21" t="s">
        <v>165</v>
      </c>
      <c r="CC9" s="23" t="s">
        <v>159</v>
      </c>
      <c r="CD9" s="21" t="s">
        <v>160</v>
      </c>
      <c r="CE9" s="21" t="s">
        <v>161</v>
      </c>
      <c r="CF9" s="21" t="s">
        <v>162</v>
      </c>
      <c r="CG9" s="21" t="s">
        <v>163</v>
      </c>
      <c r="CH9" s="23" t="s">
        <v>164</v>
      </c>
      <c r="CI9" s="35" t="s">
        <v>155</v>
      </c>
      <c r="CJ9" s="26" t="s">
        <v>156</v>
      </c>
      <c r="CK9" s="20" t="s">
        <v>157</v>
      </c>
      <c r="CL9" s="21" t="s">
        <v>165</v>
      </c>
      <c r="CM9" s="23" t="s">
        <v>159</v>
      </c>
      <c r="CN9" s="21" t="s">
        <v>160</v>
      </c>
      <c r="CO9" s="21" t="s">
        <v>161</v>
      </c>
      <c r="CP9" s="21" t="s">
        <v>162</v>
      </c>
      <c r="CQ9" s="21" t="s">
        <v>163</v>
      </c>
      <c r="CR9" s="23" t="s">
        <v>164</v>
      </c>
      <c r="CS9" s="35" t="s">
        <v>155</v>
      </c>
      <c r="CT9" s="26" t="s">
        <v>156</v>
      </c>
      <c r="CU9" s="20" t="s">
        <v>157</v>
      </c>
      <c r="CV9" s="21" t="s">
        <v>165</v>
      </c>
      <c r="CW9" s="23" t="s">
        <v>159</v>
      </c>
      <c r="CX9" s="21" t="s">
        <v>160</v>
      </c>
      <c r="CY9" s="21" t="s">
        <v>161</v>
      </c>
      <c r="CZ9" s="21" t="s">
        <v>162</v>
      </c>
      <c r="DA9" s="21" t="s">
        <v>163</v>
      </c>
      <c r="DB9" s="23" t="s">
        <v>164</v>
      </c>
      <c r="DC9" s="35" t="s">
        <v>155</v>
      </c>
      <c r="DD9" s="26" t="s">
        <v>156</v>
      </c>
      <c r="DE9" s="20" t="s">
        <v>157</v>
      </c>
      <c r="DF9" s="21" t="s">
        <v>165</v>
      </c>
      <c r="DG9" s="23" t="s">
        <v>159</v>
      </c>
      <c r="DH9" s="21" t="s">
        <v>160</v>
      </c>
      <c r="DI9" s="21" t="s">
        <v>161</v>
      </c>
      <c r="DJ9" s="21" t="s">
        <v>162</v>
      </c>
      <c r="DK9" s="21" t="s">
        <v>163</v>
      </c>
      <c r="DL9" s="23" t="s">
        <v>164</v>
      </c>
      <c r="DM9" s="35" t="s">
        <v>155</v>
      </c>
      <c r="DN9" s="26" t="s">
        <v>156</v>
      </c>
      <c r="DO9" s="20" t="s">
        <v>157</v>
      </c>
      <c r="DP9" s="21" t="s">
        <v>165</v>
      </c>
      <c r="DQ9" s="23" t="s">
        <v>159</v>
      </c>
      <c r="DR9" s="21" t="s">
        <v>160</v>
      </c>
      <c r="DS9" s="21" t="s">
        <v>161</v>
      </c>
      <c r="DT9" s="21" t="s">
        <v>162</v>
      </c>
      <c r="DU9" s="21" t="s">
        <v>163</v>
      </c>
      <c r="DV9" s="23" t="s">
        <v>164</v>
      </c>
      <c r="DW9" s="35" t="s">
        <v>155</v>
      </c>
      <c r="DX9" s="26" t="s">
        <v>156</v>
      </c>
      <c r="DY9" s="20" t="s">
        <v>157</v>
      </c>
      <c r="DZ9" s="21" t="s">
        <v>165</v>
      </c>
      <c r="EA9" s="23" t="s">
        <v>159</v>
      </c>
      <c r="EB9" s="21" t="s">
        <v>160</v>
      </c>
      <c r="EC9" s="21" t="s">
        <v>161</v>
      </c>
      <c r="ED9" s="21" t="s">
        <v>162</v>
      </c>
      <c r="EE9" s="21" t="s">
        <v>163</v>
      </c>
      <c r="EF9" s="23" t="s">
        <v>164</v>
      </c>
      <c r="EG9" s="35" t="s">
        <v>155</v>
      </c>
      <c r="EH9" s="26" t="s">
        <v>156</v>
      </c>
      <c r="EI9" s="20" t="s">
        <v>157</v>
      </c>
      <c r="EJ9" s="21" t="s">
        <v>165</v>
      </c>
      <c r="EK9" s="23" t="s">
        <v>159</v>
      </c>
      <c r="EL9" s="21" t="s">
        <v>160</v>
      </c>
      <c r="EM9" s="21" t="s">
        <v>161</v>
      </c>
      <c r="EN9" s="21" t="s">
        <v>162</v>
      </c>
      <c r="EO9" s="21" t="s">
        <v>163</v>
      </c>
      <c r="EP9" s="23" t="s">
        <v>164</v>
      </c>
      <c r="EQ9" s="35" t="s">
        <v>155</v>
      </c>
      <c r="ER9" s="26" t="s">
        <v>156</v>
      </c>
      <c r="ES9" s="20" t="s">
        <v>157</v>
      </c>
      <c r="ET9" s="21" t="s">
        <v>165</v>
      </c>
      <c r="EU9" s="23" t="s">
        <v>159</v>
      </c>
      <c r="EV9" s="21" t="s">
        <v>160</v>
      </c>
      <c r="EW9" s="21" t="s">
        <v>161</v>
      </c>
      <c r="EX9" s="21" t="s">
        <v>162</v>
      </c>
      <c r="EY9" s="21" t="s">
        <v>163</v>
      </c>
      <c r="EZ9" s="23" t="s">
        <v>164</v>
      </c>
      <c r="FA9" s="35" t="s">
        <v>155</v>
      </c>
      <c r="FB9" s="26" t="s">
        <v>156</v>
      </c>
      <c r="FC9" s="20" t="s">
        <v>157</v>
      </c>
      <c r="FD9" s="21" t="s">
        <v>165</v>
      </c>
      <c r="FE9" s="23" t="s">
        <v>159</v>
      </c>
      <c r="FF9" s="21" t="s">
        <v>160</v>
      </c>
      <c r="FG9" s="21" t="s">
        <v>161</v>
      </c>
      <c r="FH9" s="21" t="s">
        <v>162</v>
      </c>
      <c r="FI9" s="21" t="s">
        <v>163</v>
      </c>
      <c r="FJ9" s="23" t="s">
        <v>164</v>
      </c>
      <c r="FM9" s="24" t="s">
        <v>218</v>
      </c>
      <c r="FN9" s="24" t="s">
        <v>219</v>
      </c>
      <c r="FO9" s="24" t="s">
        <v>220</v>
      </c>
      <c r="FP9" s="24" t="s">
        <v>221</v>
      </c>
    </row>
    <row r="10" spans="2:172" ht="176.1">
      <c r="B10" s="3" t="s">
        <v>814</v>
      </c>
      <c r="C10" s="3" t="s">
        <v>223</v>
      </c>
      <c r="D10" s="3" t="s">
        <v>224</v>
      </c>
      <c r="E10" s="4">
        <v>7</v>
      </c>
      <c r="F10" s="123" t="str">
        <f t="shared" ref="F10:F31" si="1">IF($E10&lt;F$9,"",IF(AND(AY10&gt;0.6,BB10&lt;=8,BC10=BD10),"○","×")&amp;CHAR(10)&amp;"[P・Q]"&amp;CHAR(10)&amp;IF(AY10="","--",IF(AY10&gt;0.6,"○","×"))&amp;IF(BB10="","・--",IF(BB10&lt;=8,"・○","・×")))</f>
        <v>○
[P・Q]
○・○</v>
      </c>
      <c r="G10" s="123" t="str">
        <f t="shared" ref="G10:G31" si="2">IF($E10&lt;G$9,"",IF(AND(BI10&gt;0.6,BL10&lt;=8,BM10=BN10),"○","×")&amp;CHAR(10)&amp;"[P・Q]"&amp;CHAR(10)&amp;IF(BI10="","--",IF(BI10&gt;0.6,"○","×"))&amp;IF(BL10="","・--",IF(BL10&lt;=8,"・○","・×")))</f>
        <v>○
[P・Q]
○・○</v>
      </c>
      <c r="H10" s="123" t="str">
        <f t="shared" ref="H10:H31" si="3">IF($E10&lt;H$9,"",IF(AND(BS10&gt;0.6,BV10&lt;=8,BW10=BX10),"○","×")&amp;CHAR(10)&amp;"[P・Q]"&amp;CHAR(10)&amp;IF(BS10="","--",IF(BS10&gt;0.6,"○","×"))&amp;IF(BV10="","・--",IF(BV10&lt;=8,"・○","・×")))</f>
        <v>×
[P・Q]
○・×</v>
      </c>
      <c r="I10" s="123" t="str">
        <f t="shared" ref="I10:I31" si="4">IF($E10&lt;I$9,"",IF(AND(CC10&gt;0.6,CF10&lt;=8,CG10=CH10),"○","×")&amp;CHAR(10)&amp;"[P・Q]"&amp;CHAR(10)&amp;IF(CC10="","--",IF(CC10&gt;0.6,"○","×"))&amp;IF(CF10="","・--",IF(CF10&lt;=8,"・○","・×")))</f>
        <v>×
[P・Q]
○・×</v>
      </c>
      <c r="J10" s="123" t="str">
        <f t="shared" ref="J10:J31" si="5">IF($E10&lt;J$9,"",IF(AND(CM10&gt;0.6,CP10&lt;=8,CQ10=CR10),"○","×")&amp;CHAR(10)&amp;"[P・Q]"&amp;CHAR(10)&amp;IF(CM10="","--",IF(CM10&gt;0.6,"○","×"))&amp;IF(CP10="","・--",IF(CP10&lt;=8,"・○","・×")))</f>
        <v>○
[P・Q]
○・○</v>
      </c>
      <c r="K10" s="123"/>
      <c r="L10" s="123"/>
      <c r="M10" s="123"/>
      <c r="N10" s="123" t="str">
        <f t="shared" ref="N10:N18" si="6">IF($E10&lt;N$9,"",IF(AND(EA10&gt;0.6,ED10&lt;=8,EE10=EF10),"○","×")&amp;CHAR(10)&amp;"[P・Q]"&amp;CHAR(10)&amp;IF(EA10="","--",IF(EA10&gt;0.6,"○","×"))&amp;IF(ED10="","・--",IF(ED10&lt;=8,"・○","・×")))</f>
        <v/>
      </c>
      <c r="O10" s="123" t="str">
        <f>IF($E10&lt;O$9,"",IF(AND(EK10&gt;0.6,EN10&lt;=8,EO10=EP10),"○","×")&amp;CHAR(10)&amp;"[P・Q]"&amp;CHAR(10)&amp;IF(EK10="","--",IF(EK10&gt;0.6,"○","×"))&amp;IF(EN10="","・--",IF(EN10&lt;=8,"・○","・×")))</f>
        <v/>
      </c>
      <c r="P10" s="123" t="str">
        <f t="shared" ref="P10:P31" si="7">IF($E10&lt;P$9,"",IF(AND(EU10&gt;0.6,EX10&lt;=8,EY10=EZ10),"○","×")&amp;CHAR(10)&amp;"[P・Q]"&amp;CHAR(10)&amp;IF(EU10="","--",IF(EU10&gt;0.6,"○","×"))&amp;IF(EX10="","・--",IF(EX10&lt;=8,"・○","・×")))</f>
        <v/>
      </c>
      <c r="Q10" s="123" t="str">
        <f t="shared" ref="Q10:Q31" si="8">IF($E10&lt;Q$9,"",IF(AND(FE10&gt;0.6,FH10&lt;=8,FI10=FJ10),"○","×")&amp;CHAR(10)&amp;"[P・Q]"&amp;CHAR(10)&amp;IF(FE10="","--",IF(FE10&gt;0.6,"○","×"))&amp;IF(FH10="","・--",IF(FH10&lt;=8,"・○","・×")))</f>
        <v/>
      </c>
      <c r="R10" s="76">
        <f t="shared" ref="R10:R31" si="9">COUNTIF(AU10:FJ10,"○")/E10</f>
        <v>0.8571428571428571</v>
      </c>
      <c r="S10" s="28">
        <v>5</v>
      </c>
      <c r="T10" s="28">
        <v>3</v>
      </c>
      <c r="U10" s="28">
        <v>5</v>
      </c>
      <c r="V10" s="28">
        <v>5</v>
      </c>
      <c r="W10" s="77">
        <f t="shared" ref="W10:W31" si="10">((COUNTIF(AY10,"&gt;=0.6")+COUNTIF(BI10,"&gt;=0.6")+COUNTIF(BS10,"&gt;=0.6")+COUNTIF(CC10,"&gt;=0.6")+COUNTIF(CM10,"&gt;=0.6")+COUNTIF(CW10,"&gt;=0.6")+COUNTIF(DG10,"&gt;=0.6")+COUNTIF(DQ10,"&gt;=0.6")+COUNTIF(EA10,"&gt;=0.6")+COUNTIF(EK10,"&gt;=0.6")+COUNTIF(EU10,"&gt;=0.6")+COUNTIF(FE10,"&gt;=0.6"))*(75/(E10*2)))</f>
        <v>32.142857142857139</v>
      </c>
      <c r="X10" s="77">
        <f t="shared" ref="X10:X31" si="11">((COUNTIF(BB10,"&lt;=8")+COUNTIF(BL10,"&lt;=8")+COUNTIF(BV10,"&lt;=8")+COUNTIF(CF10,"&lt;=8")+COUNTIF(CP10,"&lt;=8")+COUNTIF(CZ10,"&lt;=8")+COUNTIF(DJ10,"&lt;=8")+COUNTIF(DT10,"&lt;=8")+COUNTIF(ED10,"&lt;=8")+COUNTIF(EN10,"&lt;=8")+COUNTIF(EX10,"&lt;=8")+COUNTIF(FH10,"&lt;=8"))*(75/(E10*2)))</f>
        <v>16.071428571428569</v>
      </c>
      <c r="Y10" s="77" cm="1">
        <f t="array" ref="Y10">_xlfn.IFS(R10&gt;=0.8,5,R10&gt;=0.6,3,R10&gt;=0.2,1,R10&lt;0.2,0)</f>
        <v>5</v>
      </c>
      <c r="Z10" s="55">
        <f>SUM(S10:Y10)</f>
        <v>71.214285714285708</v>
      </c>
      <c r="AA10" s="29" t="s">
        <v>815</v>
      </c>
      <c r="AB10" s="29" t="s">
        <v>816</v>
      </c>
      <c r="AC10" s="191" t="s">
        <v>251</v>
      </c>
      <c r="AD10" s="221" t="s">
        <v>817</v>
      </c>
      <c r="AE10" s="142"/>
      <c r="AF10" s="5" t="s">
        <v>818</v>
      </c>
      <c r="AG10" s="310">
        <f>TaskEndDay!H60</f>
        <v>1</v>
      </c>
      <c r="AH10" s="201">
        <f>IFERROR(AVERAGE(AY10,BI10,BS10,CC10,CM10,CW10,DG10,DQ10,EA10,EK10)," ")</f>
        <v>0.91427533976553577</v>
      </c>
      <c r="AI10" s="202">
        <f>IFERROR(AVERAGE(BB10,BL10,BV10,CF10,CP10,CZ10,DJ10,DT10,ED10,EN10)," ")</f>
        <v>8.8691306253295199</v>
      </c>
      <c r="AJ10" s="80" t="str">
        <f t="shared" ref="AJ10:AJ28" si="12">IFERROR(IF(AH10&gt;=0.6,"HIGH","LOW"),"")</f>
        <v>HIGH</v>
      </c>
      <c r="AK10" s="191" t="str">
        <f t="shared" ref="AK10:AK28" si="13">IFERROR(IF(AI10&lt;=8,"HIGH","LOW"),"")</f>
        <v>LOW</v>
      </c>
      <c r="AL10" s="5" t="s">
        <v>819</v>
      </c>
      <c r="AM10" s="237" t="s">
        <v>820</v>
      </c>
      <c r="AN10" s="128" t="str">
        <f>IF(AND(Z10&gt;Summary!$C$5, Z10&lt;=Summary!$D$5),Summary!$B$5,IF(AND(Z10&gt;Summary!$C$6, Z10&lt;=Summary!$D$6),Summary!$B$6,IF(AND(Z10&gt;Summary!$C$7, Z10&lt;=Summary!$D$7),Summary!$B$7,Summary!$B$8)))</f>
        <v>◎</v>
      </c>
      <c r="AO10" s="14" t="s">
        <v>168</v>
      </c>
      <c r="AP10" s="14"/>
      <c r="AQ10" s="14"/>
      <c r="AR10" s="14"/>
      <c r="AS10" s="14" t="s">
        <v>168</v>
      </c>
      <c r="AT10" s="29" t="s">
        <v>821</v>
      </c>
      <c r="AU10" s="36" t="s">
        <v>822</v>
      </c>
      <c r="AV10" s="4" t="s">
        <v>168</v>
      </c>
      <c r="AW10" s="6">
        <v>11</v>
      </c>
      <c r="AX10" s="6">
        <v>17</v>
      </c>
      <c r="AY10" s="33">
        <f>IF(AX10="","",AW10/AX10)</f>
        <v>0.6470588235294118</v>
      </c>
      <c r="AZ10" s="42">
        <v>0.30199999999999999</v>
      </c>
      <c r="BA10" s="3">
        <v>0</v>
      </c>
      <c r="BB10" s="37">
        <f>IF(BA10="","",BA10/AZ10)</f>
        <v>0</v>
      </c>
      <c r="BC10" s="3">
        <v>0</v>
      </c>
      <c r="BD10" s="3">
        <v>0</v>
      </c>
      <c r="BE10" s="36" t="s">
        <v>823</v>
      </c>
      <c r="BF10" s="4" t="s">
        <v>168</v>
      </c>
      <c r="BG10" s="6">
        <v>26.4</v>
      </c>
      <c r="BH10" s="6">
        <v>35</v>
      </c>
      <c r="BI10" s="33">
        <f>IF(BH10="","",BG10/BH10)</f>
        <v>0.75428571428571423</v>
      </c>
      <c r="BJ10" s="42">
        <v>0.93</v>
      </c>
      <c r="BK10" s="3">
        <v>2</v>
      </c>
      <c r="BL10" s="37">
        <f>IF(BK10="","",BK10/BJ10)</f>
        <v>2.150537634408602</v>
      </c>
      <c r="BM10" s="3">
        <v>2</v>
      </c>
      <c r="BN10" s="3">
        <v>2</v>
      </c>
      <c r="BO10" s="36" t="s">
        <v>824</v>
      </c>
      <c r="BP10" s="4" t="s">
        <v>168</v>
      </c>
      <c r="BQ10" s="6">
        <v>19.899999999999999</v>
      </c>
      <c r="BR10" s="6">
        <v>15</v>
      </c>
      <c r="BS10" s="33">
        <f>IF(BR10="","",BQ10/BR10)</f>
        <v>1.3266666666666667</v>
      </c>
      <c r="BT10" s="42">
        <v>0.22</v>
      </c>
      <c r="BU10" s="3">
        <v>2</v>
      </c>
      <c r="BV10" s="37">
        <f>IF(BU10="","",BU10/BT10)</f>
        <v>9.0909090909090917</v>
      </c>
      <c r="BW10" s="3">
        <v>2</v>
      </c>
      <c r="BX10" s="3">
        <v>2</v>
      </c>
      <c r="BY10" s="36" t="s">
        <v>825</v>
      </c>
      <c r="BZ10" s="4" t="s">
        <v>168</v>
      </c>
      <c r="CA10" s="6">
        <v>11</v>
      </c>
      <c r="CB10" s="6">
        <v>17</v>
      </c>
      <c r="CC10" s="33">
        <f>IF(CB10="","",CA10/CB10)</f>
        <v>0.6470588235294118</v>
      </c>
      <c r="CD10" s="42">
        <v>0.308</v>
      </c>
      <c r="CE10" s="3">
        <v>7</v>
      </c>
      <c r="CF10" s="37">
        <f>IF(CE10="","",CE10/CD10)</f>
        <v>22.727272727272727</v>
      </c>
      <c r="CG10" s="3">
        <v>7</v>
      </c>
      <c r="CH10" s="3">
        <v>7</v>
      </c>
      <c r="CI10" s="36" t="s">
        <v>826</v>
      </c>
      <c r="CJ10" s="4" t="s">
        <v>168</v>
      </c>
      <c r="CK10" s="6">
        <v>23.3</v>
      </c>
      <c r="CL10" s="6">
        <v>27</v>
      </c>
      <c r="CM10" s="33">
        <f>IF(CL10="","",CK10/CL10)</f>
        <v>0.86296296296296304</v>
      </c>
      <c r="CN10" s="42">
        <v>1.113</v>
      </c>
      <c r="CO10" s="3">
        <v>4</v>
      </c>
      <c r="CP10" s="37">
        <f>IF(CO10="","",CO10/CN10)</f>
        <v>3.5938903863432166</v>
      </c>
      <c r="CQ10" s="3">
        <v>4</v>
      </c>
      <c r="CR10" s="3">
        <v>4</v>
      </c>
      <c r="CS10" s="36"/>
      <c r="CT10" s="4"/>
      <c r="CU10" s="6"/>
      <c r="CV10" s="6"/>
      <c r="CW10" s="33" t="str">
        <f>IF(CV10="","",CU10/CV10)</f>
        <v/>
      </c>
      <c r="CX10" s="42"/>
      <c r="CY10" s="3"/>
      <c r="CZ10" s="37" t="str">
        <f>IF(CY10="","",CY10/CX10)</f>
        <v/>
      </c>
      <c r="DA10" s="3"/>
      <c r="DB10" s="3"/>
      <c r="DC10" s="36"/>
      <c r="DD10" s="4"/>
      <c r="DE10" s="6"/>
      <c r="DF10" s="6"/>
      <c r="DG10" s="33" t="str">
        <f>IF(DF10="","",DE10/DF10)</f>
        <v/>
      </c>
      <c r="DH10" s="42"/>
      <c r="DI10" s="3"/>
      <c r="DJ10" s="37" t="str">
        <f>IF(DI10="","",DI10/DH10)</f>
        <v/>
      </c>
      <c r="DK10" s="3"/>
      <c r="DL10" s="3"/>
      <c r="DM10" s="36"/>
      <c r="DN10" s="4"/>
      <c r="DO10" s="6"/>
      <c r="DP10" s="6"/>
      <c r="DQ10" s="33" t="str">
        <f>IF(DP10="","",DO10/DP10)</f>
        <v/>
      </c>
      <c r="DR10" s="42"/>
      <c r="DS10" s="3"/>
      <c r="DT10" s="37" t="str">
        <f t="shared" ref="DT10:DT14" si="14">IFERROR(IF(DS10="","",DS10/DR10)," ")</f>
        <v/>
      </c>
      <c r="DU10" s="3"/>
      <c r="DV10" s="3"/>
      <c r="DW10" s="36" t="s">
        <v>827</v>
      </c>
      <c r="DX10" s="4" t="s">
        <v>168</v>
      </c>
      <c r="DY10" s="6">
        <v>26.2</v>
      </c>
      <c r="DZ10" s="6">
        <v>21</v>
      </c>
      <c r="EA10" s="33">
        <f>IF(DZ10="","",DY10/DZ10)</f>
        <v>1.2476190476190476</v>
      </c>
      <c r="EB10" s="42">
        <v>0.57499999999999996</v>
      </c>
      <c r="EC10" s="3">
        <v>9</v>
      </c>
      <c r="ED10" s="37">
        <f>IF(EC10="","",EC10/EB10)</f>
        <v>15.65217391304348</v>
      </c>
      <c r="EE10" s="3">
        <v>9</v>
      </c>
      <c r="EF10" s="3">
        <v>9</v>
      </c>
      <c r="EG10" s="36" t="s">
        <v>828</v>
      </c>
      <c r="EH10" s="4"/>
      <c r="EI10" s="6">
        <v>31.2</v>
      </c>
      <c r="EJ10" s="6"/>
      <c r="EK10" s="33" t="str">
        <f>IF(EJ10="","",EI10/EJ10)</f>
        <v/>
      </c>
      <c r="EL10" s="42"/>
      <c r="EM10" s="3"/>
      <c r="EN10" s="37" t="str">
        <f>IF(EM10="","",EM10/EL10)</f>
        <v/>
      </c>
      <c r="EO10" s="3"/>
      <c r="EP10" s="3"/>
      <c r="EQ10" s="36" t="s">
        <v>829</v>
      </c>
      <c r="ER10" s="4"/>
      <c r="ES10" s="6">
        <v>10.9</v>
      </c>
      <c r="ET10" s="6"/>
      <c r="EU10" s="33" t="str">
        <f>IF(ET10="","",ES10/ET10)</f>
        <v/>
      </c>
      <c r="EV10" s="42"/>
      <c r="EW10" s="3"/>
      <c r="EX10" s="37" t="str">
        <f>IF(EW10="","",EW10/EV10)</f>
        <v/>
      </c>
      <c r="EY10" s="3"/>
      <c r="EZ10" s="3"/>
      <c r="FA10" s="36"/>
      <c r="FB10" s="4"/>
      <c r="FC10" s="6"/>
      <c r="FD10" s="6"/>
      <c r="FE10" s="33" t="str">
        <f>IF(FD10="","",FC10/FD10)</f>
        <v/>
      </c>
      <c r="FF10" s="42"/>
      <c r="FG10" s="3"/>
      <c r="FH10" s="37" t="str">
        <f>IF(FG10="","",FG10/FF10)</f>
        <v/>
      </c>
      <c r="FI10" s="3"/>
      <c r="FJ10" s="3"/>
      <c r="FM10" s="54">
        <f>SUM(FF10,EV10,EL10,EB10,DR10,DH10,CX10,CN10,CD10,BT10,BJ10,AZ10)</f>
        <v>3.4480000000000004</v>
      </c>
      <c r="FN10" s="54">
        <f>SUM(FG10,EW10,EM10,EC10,DS10,DI10,CY10,CO10,CE10,BU10,BK10,BA10)</f>
        <v>24</v>
      </c>
      <c r="FO10" s="471">
        <f>SUM(FC10,ES10,EI10,DY10,DO10,DE10,CU10,CK10,CA10,BQ10,BG10,AW10)</f>
        <v>159.9</v>
      </c>
      <c r="FP10" s="471">
        <f>SUM(FD10,ET10,EJ10,DZ10,DP10,DF10,CV10,CL10,CB10,BR10,BH10,AX10)</f>
        <v>132</v>
      </c>
    </row>
    <row r="11" spans="2:172" ht="143.1">
      <c r="B11" s="3" t="s">
        <v>830</v>
      </c>
      <c r="C11" s="3" t="s">
        <v>223</v>
      </c>
      <c r="D11" s="3" t="s">
        <v>224</v>
      </c>
      <c r="E11" s="28">
        <v>10</v>
      </c>
      <c r="F11" s="123" t="str">
        <f t="shared" si="1"/>
        <v>×
[P・Q]
×・○</v>
      </c>
      <c r="G11" s="123" t="str">
        <f t="shared" si="2"/>
        <v>○
[P・Q]
○・○</v>
      </c>
      <c r="H11" s="123" t="str">
        <f t="shared" si="3"/>
        <v>×
[P・Q]
○・×</v>
      </c>
      <c r="I11" s="123" t="str">
        <f t="shared" si="4"/>
        <v>×
[P・Q]
○・×</v>
      </c>
      <c r="J11" s="123" t="str">
        <f t="shared" si="5"/>
        <v>×
[P・Q]
×・×</v>
      </c>
      <c r="K11" s="123" t="str">
        <f>IF($E11&lt;K$9,"",IF(AND(CW11&gt;0.6,CZ11&lt;=8,DA11=DB11),"○","×")&amp;CHAR(10)&amp;"[P・Q]"&amp;CHAR(10)&amp;IF(CW11="","--",IF(CW11&gt;0.6,"○","×"))&amp;IF(DA11="","・--",IF(DA11&lt;=8,"・○","・×")))</f>
        <v>○
[P・Q]
○・○</v>
      </c>
      <c r="L11" s="123" t="str">
        <f t="shared" ref="L11:L20" si="15">IF($E11&lt;L$9,"",IF(AND(DG11&gt;0.6,DJ11&lt;=8,DK11=DL11),"○","×")&amp;CHAR(10)&amp;"[P・Q]"&amp;CHAR(10)&amp;IF(DG11="","--",IF(DG11&gt;0.6,"○","×"))&amp;IF(DJ11="","・--",IF(DJ11&lt;=8,"・○","・×")))</f>
        <v>×
[P・Q]
×・×</v>
      </c>
      <c r="M11" s="123" t="str">
        <f t="shared" ref="M11:M18" si="16">IF($E11&lt;M$9,"",IF(AND(DQ11&gt;0.6,DT11&lt;=8,DU11=DV11),"○","×")&amp;CHAR(10)&amp;"[P・Q]"&amp;CHAR(10)&amp;IF(DQ11="","--",IF(DQ11&gt;0.6,"○","×"))&amp;IF(DT11="","・--",IF(DT11&lt;=8,"・○","・×")))</f>
        <v>×
[P・Q]
○・×</v>
      </c>
      <c r="N11" s="123" t="str">
        <f t="shared" si="6"/>
        <v>×
[P・Q]
○・×</v>
      </c>
      <c r="O11" s="123" t="str">
        <f>IF($E11&lt;O$9,"",IF(AND(EK11&gt;0.6,EN11&lt;=8,EO11=EP11),"○","×")&amp;CHAR(10)&amp;"[P・Q]"&amp;CHAR(10)&amp;IF(EK11="","--",IF(EK11&gt;0.6,"○","×"))&amp;IF(EN11="","・--",IF(EN11&lt;=8,"・○","・×")))</f>
        <v>×
[P・Q]
○・×</v>
      </c>
      <c r="P11" s="123" t="str">
        <f t="shared" si="7"/>
        <v/>
      </c>
      <c r="Q11" s="123" t="str">
        <f t="shared" si="8"/>
        <v/>
      </c>
      <c r="R11" s="76">
        <f t="shared" si="9"/>
        <v>1</v>
      </c>
      <c r="S11" s="28">
        <v>5</v>
      </c>
      <c r="T11" s="28">
        <v>5</v>
      </c>
      <c r="U11" s="28">
        <v>5</v>
      </c>
      <c r="V11" s="28">
        <v>3</v>
      </c>
      <c r="W11" s="77">
        <f t="shared" si="10"/>
        <v>26.25</v>
      </c>
      <c r="X11" s="77">
        <f t="shared" si="11"/>
        <v>11.25</v>
      </c>
      <c r="Y11" s="77" cm="1">
        <f t="array" ref="Y11">_xlfn.IFS(R11&gt;=0.8,5,R11&gt;=0.6,3,R11&gt;=0.2,1,R11&lt;0.2,0)</f>
        <v>5</v>
      </c>
      <c r="Z11" s="55">
        <f>SUM(S11:Y11)</f>
        <v>60.5</v>
      </c>
      <c r="AA11" s="5" t="s">
        <v>831</v>
      </c>
      <c r="AB11" s="5" t="s">
        <v>832</v>
      </c>
      <c r="AC11" s="81" t="s">
        <v>226</v>
      </c>
      <c r="AD11" s="130" t="s">
        <v>833</v>
      </c>
      <c r="AE11" s="142"/>
      <c r="AF11" s="5" t="s">
        <v>834</v>
      </c>
      <c r="AG11" s="310">
        <f>TaskEndDay!H61</f>
        <v>1</v>
      </c>
      <c r="AH11" s="201">
        <f>IFERROR(AVERAGE(AY11,BI11,BS11,CC11,CM11,CW11,DG11,DQ11,EA11,EK11)," ")</f>
        <v>0.64225064042101399</v>
      </c>
      <c r="AI11" s="202">
        <f>IFERROR(AVERAGE(BB11,BL11,BV11,CF11,CP11,CZ11,DJ11,DT11,ED11,EN11)," ")</f>
        <v>20.434671475393408</v>
      </c>
      <c r="AJ11" s="80" t="str">
        <f t="shared" si="12"/>
        <v>HIGH</v>
      </c>
      <c r="AK11" s="191" t="str">
        <f t="shared" si="13"/>
        <v>LOW</v>
      </c>
      <c r="AL11" s="5" t="s">
        <v>835</v>
      </c>
      <c r="AM11" s="5" t="s">
        <v>836</v>
      </c>
      <c r="AN11" s="128" t="str">
        <f>IF(AND(Z11&gt;Summary!$C$5, Z11&lt;=Summary!$D$5),Summary!$B$5,IF(AND(Z11&gt;Summary!$C$6, Z11&lt;=Summary!$D$6),Summary!$B$6,IF(AND(Z11&gt;Summary!$C$7, Z11&lt;=Summary!$D$7),Summary!$B$7,Summary!$B$8)))</f>
        <v>○</v>
      </c>
      <c r="AO11" s="14" t="s">
        <v>168</v>
      </c>
      <c r="AP11" s="14"/>
      <c r="AQ11" s="14"/>
      <c r="AR11" s="14"/>
      <c r="AS11" s="14" t="s">
        <v>168</v>
      </c>
      <c r="AT11" s="29" t="s">
        <v>837</v>
      </c>
      <c r="AU11" s="36" t="s">
        <v>838</v>
      </c>
      <c r="AV11" s="4" t="s">
        <v>168</v>
      </c>
      <c r="AW11" s="6">
        <v>11</v>
      </c>
      <c r="AX11" s="6">
        <v>19</v>
      </c>
      <c r="AY11" s="33">
        <f t="shared" ref="AY11:AY31" si="17">IF(AX11="","",AW11/AX11)</f>
        <v>0.57894736842105265</v>
      </c>
      <c r="AZ11" s="42">
        <v>5.2999999999999999E-2</v>
      </c>
      <c r="BA11" s="3">
        <v>0</v>
      </c>
      <c r="BB11" s="37">
        <f t="shared" ref="BB11:BB31" si="18">IF(BA11="","",BA11/AZ11)</f>
        <v>0</v>
      </c>
      <c r="BC11" s="3">
        <v>0</v>
      </c>
      <c r="BD11" s="3">
        <v>0</v>
      </c>
      <c r="BE11" s="36" t="s">
        <v>839</v>
      </c>
      <c r="BF11" s="4" t="s">
        <v>168</v>
      </c>
      <c r="BG11" s="6">
        <v>24.5</v>
      </c>
      <c r="BH11" s="6">
        <v>35</v>
      </c>
      <c r="BI11" s="33">
        <f t="shared" ref="BI11:BI31" si="19">IF(BH11="","",BG11/BH11)</f>
        <v>0.7</v>
      </c>
      <c r="BJ11" s="42">
        <v>3.1970000000000001</v>
      </c>
      <c r="BK11" s="3">
        <v>3</v>
      </c>
      <c r="BL11" s="37">
        <f t="shared" ref="BL11:BL31" si="20">IF(BK11="","",BK11/BJ11)</f>
        <v>0.93837973099781047</v>
      </c>
      <c r="BM11" s="3">
        <v>3</v>
      </c>
      <c r="BN11" s="3">
        <v>3</v>
      </c>
      <c r="BO11" s="36" t="s">
        <v>840</v>
      </c>
      <c r="BP11" s="4" t="s">
        <v>168</v>
      </c>
      <c r="BQ11" s="6">
        <v>11</v>
      </c>
      <c r="BR11" s="6">
        <v>15.5</v>
      </c>
      <c r="BS11" s="33">
        <f t="shared" ref="BS11:BS31" si="21">IF(BR11="","",BQ11/BR11)</f>
        <v>0.70967741935483875</v>
      </c>
      <c r="BT11" s="42">
        <v>0.121</v>
      </c>
      <c r="BU11" s="3">
        <v>6</v>
      </c>
      <c r="BV11" s="37">
        <f>IF(BU11="","",BU11/BT11)</f>
        <v>49.586776859504134</v>
      </c>
      <c r="BW11" s="3">
        <v>6</v>
      </c>
      <c r="BX11" s="3">
        <v>6</v>
      </c>
      <c r="BY11" s="36" t="s">
        <v>841</v>
      </c>
      <c r="BZ11" s="4" t="s">
        <v>168</v>
      </c>
      <c r="CA11" s="6">
        <v>11</v>
      </c>
      <c r="CB11" s="6">
        <f>13.5</f>
        <v>13.5</v>
      </c>
      <c r="CC11" s="33">
        <f t="shared" ref="CC11:CC31" si="22">IF(CB11="","",CA11/CB11)</f>
        <v>0.81481481481481477</v>
      </c>
      <c r="CD11" s="42">
        <v>0.13900000000000001</v>
      </c>
      <c r="CE11" s="3">
        <v>3</v>
      </c>
      <c r="CF11" s="37">
        <f t="shared" ref="CF11:CF31" si="23">IF(CE11="","",CE11/CD11)</f>
        <v>21.582733812949638</v>
      </c>
      <c r="CG11" s="3">
        <v>3</v>
      </c>
      <c r="CH11" s="3">
        <v>3</v>
      </c>
      <c r="CI11" s="36" t="s">
        <v>842</v>
      </c>
      <c r="CJ11" s="4" t="s">
        <v>168</v>
      </c>
      <c r="CK11" s="6">
        <v>11.1</v>
      </c>
      <c r="CL11" s="6">
        <f>26</f>
        <v>26</v>
      </c>
      <c r="CM11" s="33">
        <f t="shared" ref="CM11:CM31" si="24">IF(CL11="","",CK11/CL11)</f>
        <v>0.42692307692307691</v>
      </c>
      <c r="CN11" s="42">
        <v>0.10199999999999999</v>
      </c>
      <c r="CO11" s="3">
        <v>5</v>
      </c>
      <c r="CP11" s="37">
        <f t="shared" ref="CP11:CP31" si="25">IF(CO11="","",CO11/CN11)</f>
        <v>49.019607843137258</v>
      </c>
      <c r="CQ11" s="3">
        <v>5</v>
      </c>
      <c r="CR11" s="3">
        <v>5</v>
      </c>
      <c r="CS11" s="36" t="s">
        <v>843</v>
      </c>
      <c r="CT11" s="4" t="s">
        <v>168</v>
      </c>
      <c r="CU11" s="6">
        <v>16</v>
      </c>
      <c r="CV11" s="6">
        <v>19</v>
      </c>
      <c r="CW11" s="33">
        <f t="shared" ref="CW11:CW31" si="26">IF(CV11="","",CU11/CV11)</f>
        <v>0.84210526315789469</v>
      </c>
      <c r="CX11" s="42">
        <v>0.32500000000000001</v>
      </c>
      <c r="CY11" s="3">
        <v>1</v>
      </c>
      <c r="CZ11" s="37">
        <f t="shared" ref="CZ11:CZ31" si="27">IF(CY11="","",CY11/CX11)</f>
        <v>3.0769230769230766</v>
      </c>
      <c r="DA11" s="3">
        <v>1</v>
      </c>
      <c r="DB11" s="3">
        <v>1</v>
      </c>
      <c r="DC11" s="36" t="s">
        <v>844</v>
      </c>
      <c r="DD11" s="4" t="s">
        <v>168</v>
      </c>
      <c r="DE11" s="6">
        <v>11</v>
      </c>
      <c r="DF11" s="6">
        <v>25</v>
      </c>
      <c r="DG11" s="33">
        <f t="shared" ref="DG11:DG31" si="28">IF(DF11="","",DE11/DF11)</f>
        <v>0.44</v>
      </c>
      <c r="DH11" s="42">
        <v>0.24099999999999999</v>
      </c>
      <c r="DI11" s="3">
        <v>4</v>
      </c>
      <c r="DJ11" s="37">
        <f t="shared" ref="DJ11:DJ31" si="29">IF(DI11="","",DI11/DH11)</f>
        <v>16.597510373443985</v>
      </c>
      <c r="DK11" s="3">
        <v>4</v>
      </c>
      <c r="DL11" s="3">
        <v>4</v>
      </c>
      <c r="DM11" s="36" t="s">
        <v>845</v>
      </c>
      <c r="DN11" s="4" t="s">
        <v>168</v>
      </c>
      <c r="DO11" s="6">
        <v>15.9</v>
      </c>
      <c r="DP11" s="6">
        <v>25</v>
      </c>
      <c r="DQ11" s="33">
        <f t="shared" ref="DQ11:DQ31" si="30">IF(DP11="","",DO11/DP11)</f>
        <v>0.63600000000000001</v>
      </c>
      <c r="DR11" s="42">
        <v>0.20499999999999999</v>
      </c>
      <c r="DS11" s="3">
        <v>5</v>
      </c>
      <c r="DT11" s="37">
        <f t="shared" si="14"/>
        <v>24.390243902439025</v>
      </c>
      <c r="DU11" s="3">
        <v>5</v>
      </c>
      <c r="DV11" s="3">
        <v>5</v>
      </c>
      <c r="DW11" s="36" t="s">
        <v>846</v>
      </c>
      <c r="DX11" s="4" t="s">
        <v>168</v>
      </c>
      <c r="DY11" s="6">
        <v>15.9</v>
      </c>
      <c r="DZ11" s="6">
        <v>24</v>
      </c>
      <c r="EA11" s="33">
        <f t="shared" ref="EA11:EA31" si="31">IF(DZ11="","",DY11/DZ11)</f>
        <v>0.66249999999999998</v>
      </c>
      <c r="EB11" s="42">
        <v>0.222</v>
      </c>
      <c r="EC11" s="3">
        <v>3</v>
      </c>
      <c r="ED11" s="37">
        <f t="shared" ref="ED11:ED31" si="32">IF(EC11="","",EC11/EB11)</f>
        <v>13.513513513513514</v>
      </c>
      <c r="EE11" s="3">
        <v>3</v>
      </c>
      <c r="EF11" s="3">
        <v>3</v>
      </c>
      <c r="EG11" s="36" t="s">
        <v>847</v>
      </c>
      <c r="EH11" s="4" t="s">
        <v>168</v>
      </c>
      <c r="EI11" s="6">
        <v>15.9</v>
      </c>
      <c r="EJ11" s="6">
        <v>26</v>
      </c>
      <c r="EK11" s="33">
        <f t="shared" ref="EK11:EK31" si="33">IF(EJ11="","",EI11/EJ11)</f>
        <v>0.61153846153846159</v>
      </c>
      <c r="EL11" s="42">
        <v>0.11700000000000001</v>
      </c>
      <c r="EM11" s="3">
        <v>3</v>
      </c>
      <c r="EN11" s="37">
        <f t="shared" ref="EN11:EN31" si="34">IF(EM11="","",EM11/EL11)</f>
        <v>25.641025641025639</v>
      </c>
      <c r="EO11" s="3">
        <v>3</v>
      </c>
      <c r="EP11" s="3">
        <v>3</v>
      </c>
      <c r="EQ11" s="36"/>
      <c r="ER11" s="4"/>
      <c r="ES11" s="6"/>
      <c r="ET11" s="6"/>
      <c r="EU11" s="33" t="str">
        <f t="shared" ref="EU11:EU31" si="35">IF(ET11="","",ES11/ET11)</f>
        <v/>
      </c>
      <c r="EV11" s="42"/>
      <c r="EW11" s="3"/>
      <c r="EX11" s="37" t="str">
        <f t="shared" ref="EX11:EX31" si="36">IF(EW11="","",EW11/EV11)</f>
        <v/>
      </c>
      <c r="EY11" s="3"/>
      <c r="EZ11" s="3"/>
      <c r="FA11" s="36"/>
      <c r="FB11" s="4"/>
      <c r="FC11" s="6"/>
      <c r="FD11" s="6"/>
      <c r="FE11" s="33" t="str">
        <f t="shared" ref="FE11:FE31" si="37">IF(FD11="","",FC11/FD11)</f>
        <v/>
      </c>
      <c r="FF11" s="42"/>
      <c r="FG11" s="3"/>
      <c r="FH11" s="37" t="str">
        <f t="shared" ref="FH11:FH31" si="38">IF(FG11="","",FG11/FF11)</f>
        <v/>
      </c>
      <c r="FI11" s="3"/>
      <c r="FJ11" s="3"/>
      <c r="FM11" s="54">
        <f>SUM(FF11,EV11,EL11,EB11,DR11,DH11,CX11,CN11,CD11,BT11,BJ11,AZ11)</f>
        <v>4.7220000000000004</v>
      </c>
      <c r="FN11" s="54">
        <f>SUM(FG11,EW11,EM11,EC11,DS11,DI11,CY11,CO11,CE11,BU11,BK11,BA11)</f>
        <v>33</v>
      </c>
      <c r="FO11" s="471">
        <f t="shared" ref="FO11:FP31" si="39">SUM(FC11,ES11,EI11,DY11,DO11,DE11,CU11,CK11,CA11,BQ11,BG11,AW11)</f>
        <v>143.30000000000001</v>
      </c>
      <c r="FP11" s="471">
        <f t="shared" si="39"/>
        <v>228</v>
      </c>
    </row>
    <row r="12" spans="2:172" ht="120.95" hidden="1">
      <c r="B12" s="3" t="s">
        <v>848</v>
      </c>
      <c r="C12" s="3" t="s">
        <v>384</v>
      </c>
      <c r="D12" s="3" t="s">
        <v>313</v>
      </c>
      <c r="E12" s="28">
        <v>11</v>
      </c>
      <c r="F12" s="123" t="str">
        <f t="shared" si="1"/>
        <v>×
[P・Q]
○・×</v>
      </c>
      <c r="G12" s="123" t="str">
        <f t="shared" si="2"/>
        <v>○
[P・Q]
○・○</v>
      </c>
      <c r="H12" s="123" t="str">
        <f t="shared" si="3"/>
        <v>○
[P・Q]
○・○</v>
      </c>
      <c r="I12" s="123" t="str">
        <f t="shared" si="4"/>
        <v>×
[P・Q]
○・×</v>
      </c>
      <c r="J12" s="123" t="str">
        <f t="shared" si="5"/>
        <v>○
[P・Q]
○・○</v>
      </c>
      <c r="K12" s="123" t="str">
        <f>IF($E12&lt;K$9,"",IF(AND(CW12&gt;0.6,CZ12&lt;=8,DA12=DB12),"○","×")&amp;CHAR(10)&amp;"[P・Q]"&amp;CHAR(10)&amp;IF(CW12="","--",IF(CW12&gt;0.6,"○","×"))&amp;IF(DA12="","・--",IF(DA12&lt;=8,"・○","・×")))</f>
        <v>○
[P・Q]
○・○</v>
      </c>
      <c r="L12" s="123" t="str">
        <f t="shared" si="15"/>
        <v>○
[P・Q]
○・○</v>
      </c>
      <c r="M12" s="123" t="str">
        <f t="shared" si="16"/>
        <v>○
[P・Q]
○・○</v>
      </c>
      <c r="N12" s="123" t="str">
        <f t="shared" si="6"/>
        <v>○
[P・Q]
○・○</v>
      </c>
      <c r="O12" s="123" t="str">
        <f>IF($E12&lt;O$9,"",IF(AND(EK12&gt;0.6,EN12&lt;=8,EO12=EP12),"○","×")&amp;CHAR(10)&amp;"[P・Q]"&amp;CHAR(10)&amp;IF(EK12="","--",IF(EK12&gt;0.6,"○","×"))&amp;IF(EN12="","・--",IF(EN12&lt;=8,"・○","・×")))</f>
        <v>○
[P・Q]
○・○</v>
      </c>
      <c r="P12" s="123" t="str">
        <f t="shared" si="7"/>
        <v>○
[P・Q]
○・○</v>
      </c>
      <c r="Q12" s="123" t="str">
        <f t="shared" si="8"/>
        <v/>
      </c>
      <c r="R12" s="76">
        <f t="shared" si="9"/>
        <v>1</v>
      </c>
      <c r="S12" s="28">
        <v>5</v>
      </c>
      <c r="T12" s="28">
        <v>3</v>
      </c>
      <c r="U12" s="28">
        <v>5</v>
      </c>
      <c r="V12" s="28">
        <v>5</v>
      </c>
      <c r="W12" s="77">
        <f t="shared" si="10"/>
        <v>37.5</v>
      </c>
      <c r="X12" s="77">
        <f t="shared" si="11"/>
        <v>30.681818181818183</v>
      </c>
      <c r="Y12" s="77" cm="1">
        <f t="array" ref="Y12">_xlfn.IFS(R12&gt;=0.8,5,R12&gt;=0.6,3,R12&gt;=0.2,1,R12&lt;0.2,0)</f>
        <v>5</v>
      </c>
      <c r="Z12" s="55">
        <f t="shared" ref="Z12:Z25" si="40">SUM(S12:Y12)</f>
        <v>91.181818181818187</v>
      </c>
      <c r="AA12" s="5" t="s">
        <v>849</v>
      </c>
      <c r="AB12" s="199" t="s">
        <v>850</v>
      </c>
      <c r="AC12" s="80" t="s">
        <v>226</v>
      </c>
      <c r="AD12" s="130" t="s">
        <v>851</v>
      </c>
      <c r="AE12" s="142"/>
      <c r="AF12" s="5" t="s">
        <v>852</v>
      </c>
      <c r="AG12" s="5"/>
      <c r="AH12" s="201">
        <f t="shared" ref="AH12" si="41">IFERROR(AVERAGE(AY12,BI12,BS12,CC12,CM12,CW12,DG12,DQ12,EA12,EK12,EU12)," ")</f>
        <v>1.1748578321750618</v>
      </c>
      <c r="AI12" s="202">
        <f t="shared" ref="AI12" si="42">IFERROR(AVERAGE(BB12,BL12,BV12,CF12,CP12,CZ12,DJ12,DT12,ED12,EN12,EX12)," ")</f>
        <v>7.3056754252736882</v>
      </c>
      <c r="AJ12" s="80" t="str">
        <f t="shared" si="12"/>
        <v>HIGH</v>
      </c>
      <c r="AK12" s="191" t="str">
        <f t="shared" si="13"/>
        <v>HIGH</v>
      </c>
      <c r="AL12" s="130" t="s">
        <v>853</v>
      </c>
      <c r="AM12" s="339" t="s">
        <v>854</v>
      </c>
      <c r="AN12" s="128" t="str">
        <f>IF(AND(Z12&gt;Summary!$C$5, Z12&lt;=Summary!$D$5),Summary!$B$5,IF(AND(Z12&gt;Summary!$C$6, Z12&lt;=Summary!$D$6),Summary!$B$6,IF(AND(Z12&gt;Summary!$C$7, Z12&lt;=Summary!$D$7),Summary!$B$7,Summary!$B$8)))</f>
        <v>◎</v>
      </c>
      <c r="AO12" s="14" t="s">
        <v>168</v>
      </c>
      <c r="AP12" s="14"/>
      <c r="AQ12" s="14"/>
      <c r="AR12" s="14" t="s">
        <v>168</v>
      </c>
      <c r="AS12" s="14"/>
      <c r="AT12" s="29" t="s">
        <v>855</v>
      </c>
      <c r="AU12" s="36" t="s">
        <v>856</v>
      </c>
      <c r="AV12" s="4" t="s">
        <v>168</v>
      </c>
      <c r="AW12" s="6">
        <v>11</v>
      </c>
      <c r="AX12" s="6">
        <v>10.5</v>
      </c>
      <c r="AY12" s="33">
        <f t="shared" si="17"/>
        <v>1.0476190476190477</v>
      </c>
      <c r="AZ12" s="42">
        <v>7.5999999999999998E-2</v>
      </c>
      <c r="BA12" s="3">
        <v>2</v>
      </c>
      <c r="BB12" s="37">
        <f t="shared" si="18"/>
        <v>26.315789473684212</v>
      </c>
      <c r="BC12" s="3">
        <v>2</v>
      </c>
      <c r="BD12" s="3">
        <v>2</v>
      </c>
      <c r="BE12" s="36" t="s">
        <v>857</v>
      </c>
      <c r="BF12" s="4" t="s">
        <v>168</v>
      </c>
      <c r="BG12" s="6">
        <v>27.3</v>
      </c>
      <c r="BH12" s="6">
        <v>21.5</v>
      </c>
      <c r="BI12" s="33">
        <f t="shared" si="19"/>
        <v>1.2697674418604652</v>
      </c>
      <c r="BJ12" s="42">
        <v>0.39900000000000002</v>
      </c>
      <c r="BK12" s="3">
        <f>0</f>
        <v>0</v>
      </c>
      <c r="BL12" s="37">
        <f t="shared" si="20"/>
        <v>0</v>
      </c>
      <c r="BM12" s="3">
        <f>0</f>
        <v>0</v>
      </c>
      <c r="BN12" s="3">
        <f>0</f>
        <v>0</v>
      </c>
      <c r="BO12" s="36" t="s">
        <v>858</v>
      </c>
      <c r="BP12" s="4" t="s">
        <v>168</v>
      </c>
      <c r="BQ12" s="6">
        <v>11</v>
      </c>
      <c r="BR12" s="6">
        <v>17</v>
      </c>
      <c r="BS12" s="33">
        <f t="shared" si="21"/>
        <v>0.6470588235294118</v>
      </c>
      <c r="BT12" s="42">
        <v>0.129</v>
      </c>
      <c r="BU12" s="3">
        <v>0</v>
      </c>
      <c r="BV12" s="37">
        <f t="shared" ref="BV12:BV31" si="43">IF(BU12="","",BU12/BT12)</f>
        <v>0</v>
      </c>
      <c r="BW12" s="3">
        <v>0</v>
      </c>
      <c r="BX12" s="3">
        <v>0</v>
      </c>
      <c r="BY12" s="36" t="s">
        <v>859</v>
      </c>
      <c r="BZ12" s="4" t="s">
        <v>168</v>
      </c>
      <c r="CA12" s="6">
        <v>10.9</v>
      </c>
      <c r="CB12" s="6">
        <v>8.5</v>
      </c>
      <c r="CC12" s="33">
        <f t="shared" si="22"/>
        <v>1.2823529411764707</v>
      </c>
      <c r="CD12" s="42">
        <v>8.3000000000000004E-2</v>
      </c>
      <c r="CE12" s="3">
        <v>3</v>
      </c>
      <c r="CF12" s="37">
        <f t="shared" si="23"/>
        <v>36.144578313253007</v>
      </c>
      <c r="CG12" s="3">
        <v>3</v>
      </c>
      <c r="CH12" s="3">
        <v>3</v>
      </c>
      <c r="CI12" s="36" t="s">
        <v>860</v>
      </c>
      <c r="CJ12" s="4" t="s">
        <v>168</v>
      </c>
      <c r="CK12" s="6">
        <v>23.2</v>
      </c>
      <c r="CL12" s="6">
        <v>12</v>
      </c>
      <c r="CM12" s="33">
        <f t="shared" si="24"/>
        <v>1.9333333333333333</v>
      </c>
      <c r="CN12" s="42">
        <v>0.377</v>
      </c>
      <c r="CO12" s="3">
        <v>0</v>
      </c>
      <c r="CP12" s="37">
        <f t="shared" si="25"/>
        <v>0</v>
      </c>
      <c r="CQ12" s="3">
        <v>0</v>
      </c>
      <c r="CR12" s="3">
        <v>0</v>
      </c>
      <c r="CS12" s="36" t="s">
        <v>861</v>
      </c>
      <c r="CT12" s="4" t="s">
        <v>168</v>
      </c>
      <c r="CU12" s="6">
        <v>16</v>
      </c>
      <c r="CV12" s="6">
        <v>11.5</v>
      </c>
      <c r="CW12" s="33">
        <f t="shared" si="26"/>
        <v>1.3913043478260869</v>
      </c>
      <c r="CX12" s="42">
        <v>0.53200000000000003</v>
      </c>
      <c r="CY12" s="3">
        <v>4</v>
      </c>
      <c r="CZ12" s="37">
        <f t="shared" si="27"/>
        <v>7.518796992481203</v>
      </c>
      <c r="DA12" s="3">
        <v>4</v>
      </c>
      <c r="DB12" s="3">
        <v>4</v>
      </c>
      <c r="DC12" s="36" t="s">
        <v>862</v>
      </c>
      <c r="DD12" s="4" t="s">
        <v>168</v>
      </c>
      <c r="DE12" s="6">
        <v>11.2</v>
      </c>
      <c r="DF12" s="6">
        <v>15.5</v>
      </c>
      <c r="DG12" s="33">
        <f t="shared" si="28"/>
        <v>0.72258064516129028</v>
      </c>
      <c r="DH12" s="42">
        <v>0.42599999999999999</v>
      </c>
      <c r="DI12" s="3">
        <v>2</v>
      </c>
      <c r="DJ12" s="37">
        <f t="shared" si="29"/>
        <v>4.694835680751174</v>
      </c>
      <c r="DK12" s="3">
        <v>2</v>
      </c>
      <c r="DL12" s="3">
        <v>2</v>
      </c>
      <c r="DM12" s="36" t="s">
        <v>863</v>
      </c>
      <c r="DN12" s="4" t="s">
        <v>168</v>
      </c>
      <c r="DO12" s="6">
        <v>11.3</v>
      </c>
      <c r="DP12" s="6">
        <v>13.5</v>
      </c>
      <c r="DQ12" s="33">
        <f t="shared" si="30"/>
        <v>0.83703703703703713</v>
      </c>
      <c r="DR12" s="42">
        <v>0.34</v>
      </c>
      <c r="DS12" s="3">
        <v>1</v>
      </c>
      <c r="DT12" s="37">
        <f t="shared" si="14"/>
        <v>2.9411764705882351</v>
      </c>
      <c r="DU12" s="3">
        <v>1</v>
      </c>
      <c r="DV12" s="3">
        <v>1</v>
      </c>
      <c r="DW12" s="36" t="s">
        <v>864</v>
      </c>
      <c r="DX12" s="4" t="s">
        <v>168</v>
      </c>
      <c r="DY12" s="6">
        <v>23.2</v>
      </c>
      <c r="DZ12" s="6">
        <v>12.5</v>
      </c>
      <c r="EA12" s="33">
        <f t="shared" si="31"/>
        <v>1.8559999999999999</v>
      </c>
      <c r="EB12" s="42">
        <v>0.29799999999999999</v>
      </c>
      <c r="EC12" s="3">
        <v>0</v>
      </c>
      <c r="ED12" s="37">
        <f t="shared" si="32"/>
        <v>0</v>
      </c>
      <c r="EE12" s="3">
        <v>0</v>
      </c>
      <c r="EF12" s="3">
        <v>0</v>
      </c>
      <c r="EG12" s="36" t="s">
        <v>865</v>
      </c>
      <c r="EH12" s="4" t="s">
        <v>168</v>
      </c>
      <c r="EI12" s="6">
        <v>19.600000000000001</v>
      </c>
      <c r="EJ12" s="6">
        <v>18.5</v>
      </c>
      <c r="EK12" s="33">
        <f t="shared" si="33"/>
        <v>1.0594594594594595</v>
      </c>
      <c r="EL12" s="42">
        <v>0.67600000000000005</v>
      </c>
      <c r="EM12" s="3">
        <v>0</v>
      </c>
      <c r="EN12" s="37">
        <f t="shared" si="34"/>
        <v>0</v>
      </c>
      <c r="EO12" s="3">
        <v>0</v>
      </c>
      <c r="EP12" s="3">
        <v>0</v>
      </c>
      <c r="EQ12" s="36" t="s">
        <v>866</v>
      </c>
      <c r="ER12" s="4" t="s">
        <v>168</v>
      </c>
      <c r="ES12" s="6">
        <v>11.4</v>
      </c>
      <c r="ET12" s="6">
        <v>13</v>
      </c>
      <c r="EU12" s="33">
        <f t="shared" si="35"/>
        <v>0.87692307692307692</v>
      </c>
      <c r="EV12" s="42">
        <v>0.36399999999999999</v>
      </c>
      <c r="EW12" s="3">
        <v>1</v>
      </c>
      <c r="EX12" s="37">
        <f t="shared" si="36"/>
        <v>2.7472527472527473</v>
      </c>
      <c r="EY12" s="3">
        <v>1</v>
      </c>
      <c r="EZ12" s="3">
        <v>1</v>
      </c>
      <c r="FA12" s="36"/>
      <c r="FB12" s="4"/>
      <c r="FC12" s="6"/>
      <c r="FD12" s="6"/>
      <c r="FE12" s="33" t="str">
        <f t="shared" si="37"/>
        <v/>
      </c>
      <c r="FF12" s="42"/>
      <c r="FG12" s="3"/>
      <c r="FH12" s="37" t="str">
        <f t="shared" si="38"/>
        <v/>
      </c>
      <c r="FI12" s="3"/>
      <c r="FJ12" s="3"/>
      <c r="FM12" s="54">
        <f t="shared" ref="FM12:FN31" si="44">SUM(FF12,EV12,EL12,EB12,DR12,DH12,CX12,CN12,CD12,BT12,BJ12,AZ12)</f>
        <v>3.7</v>
      </c>
      <c r="FN12" s="54">
        <f t="shared" si="44"/>
        <v>13</v>
      </c>
      <c r="FO12" s="471">
        <f t="shared" si="39"/>
        <v>176.10000000000002</v>
      </c>
      <c r="FP12" s="471">
        <f t="shared" si="39"/>
        <v>154</v>
      </c>
    </row>
    <row r="13" spans="2:172" ht="198">
      <c r="B13" s="27" t="s">
        <v>867</v>
      </c>
      <c r="C13" s="3" t="s">
        <v>223</v>
      </c>
      <c r="D13" s="3" t="s">
        <v>224</v>
      </c>
      <c r="E13" s="28">
        <v>10</v>
      </c>
      <c r="F13" s="123" t="str">
        <f t="shared" si="1"/>
        <v>×
[P・Q]
--・--</v>
      </c>
      <c r="G13" s="123" t="str">
        <f t="shared" si="2"/>
        <v>×
[P・Q]
○・×</v>
      </c>
      <c r="H13" s="123" t="str">
        <f t="shared" si="3"/>
        <v>○
[P・Q]
○・○</v>
      </c>
      <c r="I13" s="123" t="str">
        <f t="shared" si="4"/>
        <v>×
[P・Q]
○・×</v>
      </c>
      <c r="J13" s="123" t="str">
        <f t="shared" si="5"/>
        <v>×
[P・Q]
--・--</v>
      </c>
      <c r="K13" s="123" t="str">
        <f>IF($E13&lt;K$9,"",IF(AND(CW13&gt;0.6,CZ13&lt;=8,DA13=DB13),"○","×")&amp;CHAR(10)&amp;"[P・Q]"&amp;CHAR(10)&amp;IF(CW13="","--",IF(CW13&gt;0.6,"○","×"))&amp;IF(DA13="","・--",IF(DA13&lt;=8,"・○","・×")))</f>
        <v>×
[P・Q]
○・○</v>
      </c>
      <c r="L13" s="123" t="str">
        <f t="shared" si="15"/>
        <v>×
[P・Q]
×・×</v>
      </c>
      <c r="M13" s="123" t="str">
        <f t="shared" si="16"/>
        <v>×
[P・Q]
○・×</v>
      </c>
      <c r="N13" s="123" t="str">
        <f t="shared" si="6"/>
        <v>×
[P・Q]
--・--</v>
      </c>
      <c r="O13" s="123" t="str">
        <f>IF($E13&lt;O$9,"",IF(AND(EK13&gt;0.6,EN13&lt;=8,EO13=EP13),"○","×")&amp;CHAR(10)&amp;"[P・Q]"&amp;CHAR(10)&amp;IF(EK13="","--",IF(EK13&gt;0.6,"○","×"))&amp;IF(EN13="","・--",IF(EN13&lt;=8,"・○","・×")))</f>
        <v>×
[P・Q]
--・--</v>
      </c>
      <c r="P13" s="123" t="str">
        <f t="shared" si="7"/>
        <v/>
      </c>
      <c r="Q13" s="123" t="str">
        <f t="shared" si="8"/>
        <v/>
      </c>
      <c r="R13" s="76">
        <f t="shared" si="9"/>
        <v>0.6</v>
      </c>
      <c r="S13" s="28">
        <v>5</v>
      </c>
      <c r="T13" s="28">
        <v>3</v>
      </c>
      <c r="U13" s="28">
        <v>3</v>
      </c>
      <c r="V13" s="28">
        <v>3</v>
      </c>
      <c r="W13" s="77">
        <f t="shared" si="10"/>
        <v>18.75</v>
      </c>
      <c r="X13" s="77">
        <f t="shared" si="11"/>
        <v>3.75</v>
      </c>
      <c r="Y13" s="77" cm="1">
        <f t="array" ref="Y13">_xlfn.IFS(R13&gt;=0.8,5,R13&gt;=0.6,3,R13&gt;=0.2,1,R13&lt;0.2,0)</f>
        <v>3</v>
      </c>
      <c r="Z13" s="55">
        <f t="shared" si="40"/>
        <v>39.5</v>
      </c>
      <c r="AA13" s="5" t="s">
        <v>868</v>
      </c>
      <c r="AB13" s="5" t="s">
        <v>869</v>
      </c>
      <c r="AC13" s="80" t="s">
        <v>251</v>
      </c>
      <c r="AD13" s="99" t="s">
        <v>870</v>
      </c>
      <c r="AE13" s="3"/>
      <c r="AF13" s="5" t="s">
        <v>871</v>
      </c>
      <c r="AG13" s="308">
        <f>TaskEndDay!H63</f>
        <v>0.9</v>
      </c>
      <c r="AH13" s="201">
        <f>IFERROR(AVERAGE(AY13,BI13,BS13,CC13,CM13,CW13,DG13,DQ13,EA13,EK13)," ")</f>
        <v>1.148235294117647</v>
      </c>
      <c r="AI13" s="202">
        <f>IFERROR(AVERAGE(BB13,BL13,BV13,CF13,CP13,CZ13,DJ13,DT13,ED13,EN13)," ")</f>
        <v>27.148309729707517</v>
      </c>
      <c r="AJ13" s="80" t="str">
        <f t="shared" si="12"/>
        <v>HIGH</v>
      </c>
      <c r="AK13" s="191" t="str">
        <f t="shared" si="13"/>
        <v>LOW</v>
      </c>
      <c r="AL13" s="29" t="s">
        <v>872</v>
      </c>
      <c r="AM13" s="5" t="s">
        <v>873</v>
      </c>
      <c r="AN13" s="128" t="str">
        <f>IF(AND(Z13&gt;Summary!$C$5, Z13&lt;=Summary!$D$5),Summary!$B$5,IF(AND(Z13&gt;Summary!$C$6, Z13&lt;=Summary!$D$6),Summary!$B$6,IF(AND(Z13&gt;Summary!$C$7, Z13&lt;=Summary!$D$7),Summary!$B$7,Summary!$B$8)))</f>
        <v>△</v>
      </c>
      <c r="AO13" s="14" t="s">
        <v>174</v>
      </c>
      <c r="AP13" s="14"/>
      <c r="AQ13" s="14"/>
      <c r="AR13" s="14"/>
      <c r="AS13" s="14" t="s">
        <v>168</v>
      </c>
      <c r="AT13" s="29" t="s">
        <v>874</v>
      </c>
      <c r="AU13" s="36" t="s">
        <v>875</v>
      </c>
      <c r="AV13" s="4"/>
      <c r="AW13" s="6">
        <v>11</v>
      </c>
      <c r="AX13" s="6" t="s">
        <v>876</v>
      </c>
      <c r="AY13" s="33" t="str">
        <f t="shared" si="17"/>
        <v/>
      </c>
      <c r="AZ13" s="42" t="s">
        <v>876</v>
      </c>
      <c r="BA13" s="3" t="s">
        <v>876</v>
      </c>
      <c r="BB13" s="37" t="str">
        <f t="shared" si="18"/>
        <v/>
      </c>
      <c r="BC13" s="3" t="s">
        <v>876</v>
      </c>
      <c r="BD13" s="3" t="s">
        <v>876</v>
      </c>
      <c r="BE13" s="36" t="s">
        <v>877</v>
      </c>
      <c r="BF13" s="4" t="s">
        <v>168</v>
      </c>
      <c r="BG13" s="6">
        <v>11</v>
      </c>
      <c r="BH13" s="6">
        <v>11</v>
      </c>
      <c r="BI13" s="33">
        <f t="shared" si="19"/>
        <v>1</v>
      </c>
      <c r="BJ13" s="42">
        <v>0.247</v>
      </c>
      <c r="BK13" s="3">
        <v>3</v>
      </c>
      <c r="BL13" s="37">
        <f t="shared" si="20"/>
        <v>12.145748987854251</v>
      </c>
      <c r="BM13" s="3">
        <v>3</v>
      </c>
      <c r="BN13" s="3">
        <v>3</v>
      </c>
      <c r="BO13" s="36" t="s">
        <v>878</v>
      </c>
      <c r="BP13" s="4" t="s">
        <v>168</v>
      </c>
      <c r="BQ13" s="6">
        <v>23.2</v>
      </c>
      <c r="BR13" s="6">
        <v>8.5</v>
      </c>
      <c r="BS13" s="33">
        <f t="shared" si="21"/>
        <v>2.7294117647058824</v>
      </c>
      <c r="BT13" s="42">
        <v>0.67700000000000005</v>
      </c>
      <c r="BU13" s="3">
        <v>1</v>
      </c>
      <c r="BV13" s="37">
        <f t="shared" si="43"/>
        <v>1.4771048744460855</v>
      </c>
      <c r="BW13" s="3">
        <v>1</v>
      </c>
      <c r="BX13" s="3">
        <v>1</v>
      </c>
      <c r="BY13" s="36" t="s">
        <v>879</v>
      </c>
      <c r="BZ13" s="4" t="s">
        <v>168</v>
      </c>
      <c r="CA13" s="6">
        <v>10.9</v>
      </c>
      <c r="CB13" s="6">
        <v>15</v>
      </c>
      <c r="CC13" s="33">
        <f t="shared" si="22"/>
        <v>0.72666666666666668</v>
      </c>
      <c r="CD13" s="42">
        <v>0.14799999999999999</v>
      </c>
      <c r="CE13" s="3">
        <v>10</v>
      </c>
      <c r="CF13" s="37">
        <f t="shared" si="23"/>
        <v>67.567567567567565</v>
      </c>
      <c r="CG13" s="3">
        <v>10</v>
      </c>
      <c r="CH13" s="3">
        <v>10</v>
      </c>
      <c r="CI13" s="36" t="s">
        <v>880</v>
      </c>
      <c r="CJ13" s="4"/>
      <c r="CK13" s="6">
        <v>23.9</v>
      </c>
      <c r="CL13" s="6"/>
      <c r="CM13" s="33" t="str">
        <f t="shared" si="24"/>
        <v/>
      </c>
      <c r="CN13" s="42"/>
      <c r="CO13" s="3"/>
      <c r="CP13" s="37" t="str">
        <f t="shared" si="25"/>
        <v/>
      </c>
      <c r="CQ13" s="3"/>
      <c r="CR13" s="3"/>
      <c r="CS13" s="36" t="s">
        <v>881</v>
      </c>
      <c r="CT13" s="4" t="s">
        <v>168</v>
      </c>
      <c r="CU13" s="6">
        <v>11</v>
      </c>
      <c r="CV13" s="6">
        <v>15</v>
      </c>
      <c r="CW13" s="33">
        <f t="shared" si="26"/>
        <v>0.73333333333333328</v>
      </c>
      <c r="CX13" s="42">
        <v>0.159</v>
      </c>
      <c r="CY13" s="3">
        <v>5</v>
      </c>
      <c r="CZ13" s="37">
        <f t="shared" si="27"/>
        <v>31.446540880503143</v>
      </c>
      <c r="DA13" s="3">
        <v>5</v>
      </c>
      <c r="DB13" s="3">
        <v>5</v>
      </c>
      <c r="DC13" s="36" t="s">
        <v>882</v>
      </c>
      <c r="DD13" s="4" t="s">
        <v>168</v>
      </c>
      <c r="DE13" s="6">
        <v>11</v>
      </c>
      <c r="DF13" s="6">
        <v>20</v>
      </c>
      <c r="DG13" s="33">
        <f t="shared" si="28"/>
        <v>0.55000000000000004</v>
      </c>
      <c r="DH13" s="42">
        <v>0.108</v>
      </c>
      <c r="DI13" s="3">
        <v>4</v>
      </c>
      <c r="DJ13" s="37">
        <f t="shared" si="29"/>
        <v>37.037037037037038</v>
      </c>
      <c r="DK13" s="3">
        <v>4</v>
      </c>
      <c r="DL13" s="3">
        <v>4</v>
      </c>
      <c r="DM13" s="36" t="s">
        <v>883</v>
      </c>
      <c r="DN13" s="4" t="s">
        <v>168</v>
      </c>
      <c r="DO13" s="6">
        <v>16.100000000000001</v>
      </c>
      <c r="DP13" s="6">
        <v>14</v>
      </c>
      <c r="DQ13" s="33">
        <f t="shared" si="30"/>
        <v>1.1500000000000001</v>
      </c>
      <c r="DR13" s="42">
        <v>0.22700000000000001</v>
      </c>
      <c r="DS13" s="3">
        <v>3</v>
      </c>
      <c r="DT13" s="37">
        <f t="shared" si="14"/>
        <v>13.215859030837004</v>
      </c>
      <c r="DU13" s="3">
        <v>3</v>
      </c>
      <c r="DV13" s="3">
        <v>3</v>
      </c>
      <c r="DW13" s="36" t="s">
        <v>884</v>
      </c>
      <c r="DX13" s="4"/>
      <c r="DY13" s="6">
        <v>15.9</v>
      </c>
      <c r="DZ13" s="6"/>
      <c r="EA13" s="33" t="str">
        <f t="shared" si="31"/>
        <v/>
      </c>
      <c r="EB13" s="42"/>
      <c r="EC13" s="3"/>
      <c r="ED13" s="37" t="str">
        <f t="shared" si="32"/>
        <v/>
      </c>
      <c r="EE13" s="3"/>
      <c r="EF13" s="3"/>
      <c r="EG13" s="36" t="s">
        <v>885</v>
      </c>
      <c r="EH13" s="4"/>
      <c r="EI13" s="6">
        <v>23</v>
      </c>
      <c r="EJ13" s="6"/>
      <c r="EK13" s="33" t="str">
        <f t="shared" si="33"/>
        <v/>
      </c>
      <c r="EL13" s="42"/>
      <c r="EM13" s="3"/>
      <c r="EN13" s="37" t="str">
        <f t="shared" si="34"/>
        <v/>
      </c>
      <c r="EO13" s="3"/>
      <c r="EP13" s="3"/>
      <c r="EQ13" s="36" t="s">
        <v>886</v>
      </c>
      <c r="ER13" s="4"/>
      <c r="ES13" s="6">
        <v>10.9</v>
      </c>
      <c r="ET13" s="6"/>
      <c r="EU13" s="33" t="str">
        <f t="shared" si="35"/>
        <v/>
      </c>
      <c r="EV13" s="42"/>
      <c r="EW13" s="3"/>
      <c r="EX13" s="37" t="str">
        <f t="shared" si="36"/>
        <v/>
      </c>
      <c r="EY13" s="3"/>
      <c r="EZ13" s="3"/>
      <c r="FA13" s="36"/>
      <c r="FB13" s="4"/>
      <c r="FC13" s="6"/>
      <c r="FD13" s="6"/>
      <c r="FE13" s="33" t="str">
        <f t="shared" si="37"/>
        <v/>
      </c>
      <c r="FF13" s="42"/>
      <c r="FG13" s="3"/>
      <c r="FH13" s="37" t="str">
        <f t="shared" si="38"/>
        <v/>
      </c>
      <c r="FI13" s="3"/>
      <c r="FJ13" s="3"/>
      <c r="FM13" s="54">
        <f t="shared" si="44"/>
        <v>1.5659999999999998</v>
      </c>
      <c r="FN13" s="54">
        <f t="shared" si="44"/>
        <v>26</v>
      </c>
      <c r="FO13" s="471">
        <f t="shared" si="39"/>
        <v>167.9</v>
      </c>
      <c r="FP13" s="471">
        <f t="shared" si="39"/>
        <v>83.5</v>
      </c>
    </row>
    <row r="14" spans="2:172" ht="143.1">
      <c r="B14" s="3" t="s">
        <v>887</v>
      </c>
      <c r="C14" s="3" t="s">
        <v>287</v>
      </c>
      <c r="D14" s="3" t="s">
        <v>224</v>
      </c>
      <c r="E14" s="4">
        <f>11-2</f>
        <v>9</v>
      </c>
      <c r="F14" s="123" t="str">
        <f t="shared" si="1"/>
        <v>×
[P・Q]
×・×</v>
      </c>
      <c r="G14" s="123" t="str">
        <f t="shared" si="2"/>
        <v>×
[P・Q]
○・×</v>
      </c>
      <c r="H14" s="123" t="str">
        <f t="shared" si="3"/>
        <v>○
[P・Q]
○・○</v>
      </c>
      <c r="I14" s="123" t="str">
        <f t="shared" si="4"/>
        <v>○
[P・Q]
○・○</v>
      </c>
      <c r="J14" s="123" t="str">
        <f t="shared" si="5"/>
        <v>×
[P・Q]
○・×</v>
      </c>
      <c r="K14" s="123"/>
      <c r="L14" s="123" t="str">
        <f t="shared" si="15"/>
        <v>×
[P・Q]
○・--</v>
      </c>
      <c r="M14" s="123" t="str">
        <f t="shared" si="16"/>
        <v>×
[P・Q]
○・×</v>
      </c>
      <c r="N14" s="123" t="str">
        <f t="shared" si="6"/>
        <v>×
[P・Q]
○・×</v>
      </c>
      <c r="O14" s="123"/>
      <c r="P14" s="123" t="str">
        <f t="shared" si="7"/>
        <v/>
      </c>
      <c r="Q14" s="123" t="str">
        <f t="shared" si="8"/>
        <v/>
      </c>
      <c r="R14" s="76">
        <f t="shared" si="9"/>
        <v>0.88888888888888884</v>
      </c>
      <c r="S14" s="28">
        <v>5</v>
      </c>
      <c r="T14" s="4">
        <v>5</v>
      </c>
      <c r="U14" s="4">
        <v>5</v>
      </c>
      <c r="V14" s="4">
        <v>5</v>
      </c>
      <c r="W14" s="77">
        <f t="shared" si="10"/>
        <v>33.333333333333336</v>
      </c>
      <c r="X14" s="77">
        <f t="shared" si="11"/>
        <v>8.3333333333333339</v>
      </c>
      <c r="Y14" s="77" cm="1">
        <f t="array" ref="Y14">_xlfn.IFS(R14&gt;=0.8,5,R14&gt;=0.6,3,R14&gt;=0.2,1,R14&lt;0.2,0)</f>
        <v>5</v>
      </c>
      <c r="Z14" s="55">
        <f t="shared" si="40"/>
        <v>66.666666666666671</v>
      </c>
      <c r="AA14" s="5" t="s">
        <v>888</v>
      </c>
      <c r="AB14" s="5" t="s">
        <v>889</v>
      </c>
      <c r="AC14" s="80" t="s">
        <v>251</v>
      </c>
      <c r="AD14" s="99" t="s">
        <v>890</v>
      </c>
      <c r="AE14" s="14" t="s">
        <v>174</v>
      </c>
      <c r="AF14" s="5" t="s">
        <v>891</v>
      </c>
      <c r="AG14" s="5"/>
      <c r="AH14" s="201">
        <f>IFERROR(AVERAGE(AY14,BI14,BS14,CC14,CM14,CW14,DG14,DQ14,EA14,EK14,EU14)," ")</f>
        <v>1.1060941317038879</v>
      </c>
      <c r="AI14" s="202">
        <f>IFERROR(AVERAGE(BB14,BL14,BV14,CF14,CP14,CZ14,DJ14,DT14,ED14,EN14,EX14)," ")</f>
        <v>21.79249659783401</v>
      </c>
      <c r="AJ14" s="80" t="str">
        <f t="shared" si="12"/>
        <v>HIGH</v>
      </c>
      <c r="AK14" s="191" t="str">
        <f t="shared" si="13"/>
        <v>LOW</v>
      </c>
      <c r="AL14" s="130"/>
      <c r="AM14" s="130"/>
      <c r="AN14" s="128" t="str">
        <f>IF(AND(Z14&gt;Summary!$C$5, Z14&lt;=Summary!$D$5),Summary!$B$5,IF(AND(Z14&gt;Summary!$C$6, Z14&lt;=Summary!$D$6),Summary!$B$6,IF(AND(Z14&gt;Summary!$C$7, Z14&lt;=Summary!$D$7),Summary!$B$7,Summary!$B$8)))</f>
        <v>○</v>
      </c>
      <c r="AO14" s="14" t="s">
        <v>168</v>
      </c>
      <c r="AP14" s="14"/>
      <c r="AQ14" s="14" t="s">
        <v>168</v>
      </c>
      <c r="AR14" s="14"/>
      <c r="AS14" s="14"/>
      <c r="AT14" s="5" t="s">
        <v>892</v>
      </c>
      <c r="AU14" s="80" t="s">
        <v>893</v>
      </c>
      <c r="AV14" s="4" t="s">
        <v>168</v>
      </c>
      <c r="AW14" s="6">
        <v>11.1</v>
      </c>
      <c r="AX14" s="6">
        <v>21</v>
      </c>
      <c r="AY14" s="33">
        <f t="shared" si="17"/>
        <v>0.52857142857142858</v>
      </c>
      <c r="AZ14" s="42">
        <v>0.372</v>
      </c>
      <c r="BA14" s="3">
        <v>4</v>
      </c>
      <c r="BB14" s="37">
        <f t="shared" si="18"/>
        <v>10.75268817204301</v>
      </c>
      <c r="BC14" s="3">
        <v>4</v>
      </c>
      <c r="BD14" s="3">
        <v>4</v>
      </c>
      <c r="BE14" s="80" t="s">
        <v>894</v>
      </c>
      <c r="BF14" s="4" t="s">
        <v>168</v>
      </c>
      <c r="BG14" s="6">
        <v>11</v>
      </c>
      <c r="BH14" s="6">
        <v>16.5</v>
      </c>
      <c r="BI14" s="33">
        <f t="shared" si="19"/>
        <v>0.66666666666666663</v>
      </c>
      <c r="BJ14" s="42">
        <v>0.193</v>
      </c>
      <c r="BK14" s="3">
        <v>4</v>
      </c>
      <c r="BL14" s="37">
        <f t="shared" si="20"/>
        <v>20.725388601036268</v>
      </c>
      <c r="BM14" s="3">
        <v>4</v>
      </c>
      <c r="BN14" s="3">
        <v>4</v>
      </c>
      <c r="BO14" s="80" t="s">
        <v>895</v>
      </c>
      <c r="BP14" s="4" t="s">
        <v>168</v>
      </c>
      <c r="BQ14" s="6">
        <v>11</v>
      </c>
      <c r="BR14" s="6">
        <v>12</v>
      </c>
      <c r="BS14" s="33">
        <f t="shared" si="21"/>
        <v>0.91666666666666663</v>
      </c>
      <c r="BT14" s="42">
        <v>0.158</v>
      </c>
      <c r="BU14" s="3">
        <v>1</v>
      </c>
      <c r="BV14" s="37">
        <f t="shared" si="43"/>
        <v>6.3291139240506329</v>
      </c>
      <c r="BW14" s="3">
        <v>1</v>
      </c>
      <c r="BX14" s="3">
        <v>1</v>
      </c>
      <c r="BY14" s="80" t="s">
        <v>896</v>
      </c>
      <c r="BZ14" s="4" t="s">
        <v>168</v>
      </c>
      <c r="CA14" s="6">
        <v>11.1</v>
      </c>
      <c r="CB14" s="6">
        <v>11</v>
      </c>
      <c r="CC14" s="33">
        <f t="shared" si="22"/>
        <v>1.009090909090909</v>
      </c>
      <c r="CD14" s="42">
        <v>0.19500000000000001</v>
      </c>
      <c r="CE14" s="3">
        <v>0</v>
      </c>
      <c r="CF14" s="37">
        <f t="shared" si="23"/>
        <v>0</v>
      </c>
      <c r="CG14" s="3">
        <v>0</v>
      </c>
      <c r="CH14" s="3">
        <v>0</v>
      </c>
      <c r="CI14" s="80" t="s">
        <v>897</v>
      </c>
      <c r="CJ14" s="4" t="s">
        <v>168</v>
      </c>
      <c r="CK14" s="6">
        <v>15.9</v>
      </c>
      <c r="CL14" s="6">
        <v>20.5</v>
      </c>
      <c r="CM14" s="33">
        <f t="shared" si="24"/>
        <v>0.775609756097561</v>
      </c>
      <c r="CN14" s="42">
        <v>9.7000000000000003E-2</v>
      </c>
      <c r="CO14" s="3">
        <v>6</v>
      </c>
      <c r="CP14" s="37">
        <f t="shared" si="25"/>
        <v>61.855670103092784</v>
      </c>
      <c r="CQ14" s="3">
        <v>6</v>
      </c>
      <c r="CR14" s="3">
        <v>6</v>
      </c>
      <c r="CS14" s="80"/>
      <c r="CT14" s="4"/>
      <c r="CU14" s="6"/>
      <c r="CV14" s="6"/>
      <c r="CW14" s="33" t="str">
        <f t="shared" si="26"/>
        <v/>
      </c>
      <c r="CX14" s="42"/>
      <c r="CY14" s="3"/>
      <c r="CZ14" s="37" t="str">
        <f t="shared" si="27"/>
        <v/>
      </c>
      <c r="DA14" s="3"/>
      <c r="DB14" s="3"/>
      <c r="DC14" s="80" t="s">
        <v>898</v>
      </c>
      <c r="DD14" s="4" t="s">
        <v>168</v>
      </c>
      <c r="DE14" s="6">
        <v>15.9</v>
      </c>
      <c r="DF14" s="6">
        <v>6</v>
      </c>
      <c r="DG14" s="33">
        <f t="shared" si="28"/>
        <v>2.65</v>
      </c>
      <c r="DH14" s="42">
        <v>0.115</v>
      </c>
      <c r="DI14" s="3"/>
      <c r="DJ14" s="37" t="str">
        <f t="shared" si="29"/>
        <v/>
      </c>
      <c r="DK14" s="3"/>
      <c r="DL14" s="3"/>
      <c r="DM14" s="80" t="s">
        <v>899</v>
      </c>
      <c r="DN14" s="4" t="s">
        <v>168</v>
      </c>
      <c r="DO14" s="6">
        <v>11.1</v>
      </c>
      <c r="DP14" s="6">
        <v>7</v>
      </c>
      <c r="DQ14" s="33">
        <f t="shared" si="30"/>
        <v>1.5857142857142856</v>
      </c>
      <c r="DR14" s="42">
        <v>0.156</v>
      </c>
      <c r="DS14" s="3">
        <v>5</v>
      </c>
      <c r="DT14" s="37">
        <f t="shared" si="14"/>
        <v>32.051282051282051</v>
      </c>
      <c r="DU14" s="3">
        <v>5</v>
      </c>
      <c r="DV14" s="3">
        <v>5</v>
      </c>
      <c r="DW14" s="80" t="s">
        <v>900</v>
      </c>
      <c r="DX14" s="4" t="s">
        <v>168</v>
      </c>
      <c r="DY14" s="6">
        <v>14.1</v>
      </c>
      <c r="DZ14" s="6">
        <v>14</v>
      </c>
      <c r="EA14" s="33">
        <f t="shared" si="31"/>
        <v>1.0071428571428571</v>
      </c>
      <c r="EB14" s="42">
        <v>0.24</v>
      </c>
      <c r="EC14" s="3">
        <v>5</v>
      </c>
      <c r="ED14" s="37">
        <f t="shared" si="32"/>
        <v>20.833333333333336</v>
      </c>
      <c r="EE14" s="3">
        <v>5</v>
      </c>
      <c r="EF14" s="3">
        <v>5</v>
      </c>
      <c r="EG14" s="80"/>
      <c r="EH14" s="4"/>
      <c r="EI14" s="6"/>
      <c r="EJ14" s="6"/>
      <c r="EK14" s="33" t="str">
        <f t="shared" si="33"/>
        <v/>
      </c>
      <c r="EL14" s="42"/>
      <c r="EM14" s="3"/>
      <c r="EN14" s="37" t="str">
        <f t="shared" si="34"/>
        <v/>
      </c>
      <c r="EO14" s="3"/>
      <c r="EP14" s="3"/>
      <c r="EQ14" s="80" t="s">
        <v>901</v>
      </c>
      <c r="ER14" s="4"/>
      <c r="ES14" s="6">
        <v>15.9</v>
      </c>
      <c r="ET14" s="6">
        <v>19.5</v>
      </c>
      <c r="EU14" s="33">
        <f t="shared" si="35"/>
        <v>0.81538461538461537</v>
      </c>
      <c r="EV14" s="42">
        <v>7.0000000000000007E-2</v>
      </c>
      <c r="EW14" s="3"/>
      <c r="EX14" s="37" t="str">
        <f t="shared" si="36"/>
        <v/>
      </c>
      <c r="EY14" s="3"/>
      <c r="EZ14" s="3"/>
      <c r="FA14" s="4"/>
      <c r="FB14" s="4"/>
      <c r="FC14" s="6"/>
      <c r="FD14" s="6"/>
      <c r="FE14" s="33" t="str">
        <f t="shared" si="37"/>
        <v/>
      </c>
      <c r="FF14" s="42"/>
      <c r="FG14" s="3"/>
      <c r="FH14" s="37" t="str">
        <f t="shared" si="38"/>
        <v/>
      </c>
      <c r="FI14" s="3"/>
      <c r="FJ14" s="3"/>
      <c r="FM14" s="54">
        <f t="shared" si="44"/>
        <v>1.5960000000000001</v>
      </c>
      <c r="FN14" s="54">
        <f t="shared" si="44"/>
        <v>25</v>
      </c>
      <c r="FO14" s="471">
        <f t="shared" si="39"/>
        <v>117.1</v>
      </c>
      <c r="FP14" s="471">
        <f t="shared" si="39"/>
        <v>127.5</v>
      </c>
    </row>
    <row r="15" spans="2:172" ht="252.95">
      <c r="B15" s="27" t="s">
        <v>902</v>
      </c>
      <c r="C15" s="27" t="s">
        <v>223</v>
      </c>
      <c r="D15" s="3" t="s">
        <v>224</v>
      </c>
      <c r="E15" s="4">
        <v>10</v>
      </c>
      <c r="F15" s="123" t="str">
        <f t="shared" si="1"/>
        <v>×
[P・Q]
×・×</v>
      </c>
      <c r="G15" s="123" t="str">
        <f t="shared" si="2"/>
        <v>×
[P・Q]
×・×</v>
      </c>
      <c r="H15" s="123" t="str">
        <f t="shared" si="3"/>
        <v>×
[P・Q]
×・○</v>
      </c>
      <c r="I15" s="123" t="str">
        <f t="shared" si="4"/>
        <v>×
[P・Q]
×・×</v>
      </c>
      <c r="J15" s="123" t="str">
        <f t="shared" si="5"/>
        <v>×
[P・Q]
○・×</v>
      </c>
      <c r="K15" s="123" t="str">
        <f t="shared" ref="K15:K26" si="45">IF($E15&lt;K$9,"",IF(AND(CW15&gt;0.6,CZ15&lt;=8,DA15=DB15),"○","×")&amp;CHAR(10)&amp;"[P・Q]"&amp;CHAR(10)&amp;IF(CW15="","--",IF(CW15&gt;0.6,"○","×"))&amp;IF(DA15="","・--",IF(DA15&lt;=8,"・○","・×")))</f>
        <v>×
[P・Q]
×・--</v>
      </c>
      <c r="L15" s="123" t="str">
        <f t="shared" si="15"/>
        <v>×
[P・Q]
×・--</v>
      </c>
      <c r="M15" s="123" t="str">
        <f t="shared" si="16"/>
        <v>○
[P・Q]
○・○</v>
      </c>
      <c r="N15" s="123" t="str">
        <f t="shared" si="6"/>
        <v>×
[P・Q]
--・--</v>
      </c>
      <c r="O15" s="123" t="str">
        <f>IF($E15&lt;O$9,"",IF(AND(EK15&gt;0.6,EN15&lt;=8,EO15=EP15),"○","×")&amp;CHAR(10)&amp;"[P・Q]"&amp;CHAR(10)&amp;IF(EK15="","--",IF(EK15&gt;0.6,"○","×"))&amp;IF(EN15="","・--",IF(EN15&lt;=8,"・○","・×")))</f>
        <v>×
[P・Q]
--・--</v>
      </c>
      <c r="P15" s="123" t="str">
        <f t="shared" si="7"/>
        <v/>
      </c>
      <c r="Q15" s="123" t="str">
        <f t="shared" si="8"/>
        <v/>
      </c>
      <c r="R15" s="76">
        <f t="shared" si="9"/>
        <v>0.6</v>
      </c>
      <c r="S15" s="28">
        <v>5</v>
      </c>
      <c r="T15" s="4">
        <v>5</v>
      </c>
      <c r="U15" s="4">
        <v>5</v>
      </c>
      <c r="V15" s="4">
        <v>3</v>
      </c>
      <c r="W15" s="77">
        <f t="shared" si="10"/>
        <v>7.5</v>
      </c>
      <c r="X15" s="77">
        <f t="shared" si="11"/>
        <v>7.5</v>
      </c>
      <c r="Y15" s="77" cm="1">
        <f t="array" ref="Y15">_xlfn.IFS(R15&gt;=0.8,5,R15&gt;=0.6,3,R15&gt;=0.2,1,R15&lt;0.2,0)</f>
        <v>3</v>
      </c>
      <c r="Z15" s="55">
        <f t="shared" si="40"/>
        <v>36</v>
      </c>
      <c r="AA15" s="5" t="s">
        <v>903</v>
      </c>
      <c r="AB15" s="5" t="s">
        <v>904</v>
      </c>
      <c r="AC15" s="80" t="s">
        <v>226</v>
      </c>
      <c r="AD15" s="5" t="s">
        <v>905</v>
      </c>
      <c r="AE15" s="3"/>
      <c r="AF15" s="5" t="s">
        <v>906</v>
      </c>
      <c r="AG15" s="308">
        <f>TaskEndDay!H65</f>
        <v>0.8</v>
      </c>
      <c r="AH15" s="201">
        <f>IFERROR(AVERAGE(AY15,BI15,BS15,CC15,CM15,CW15,DG15,DQ15,EA15,EK15)," ")</f>
        <v>0.59741503341364388</v>
      </c>
      <c r="AI15" s="202">
        <f>IFERROR(AVERAGE(BB15,BL15,BV15,CF15,CP15,CZ15,DJ15,DT15,ED15,EN15)," ")</f>
        <v>14.645838236612294</v>
      </c>
      <c r="AJ15" s="80" t="str">
        <f t="shared" si="12"/>
        <v>LOW</v>
      </c>
      <c r="AK15" s="191" t="str">
        <f t="shared" si="13"/>
        <v>LOW</v>
      </c>
      <c r="AL15" s="29" t="s">
        <v>907</v>
      </c>
      <c r="AM15" s="5" t="s">
        <v>908</v>
      </c>
      <c r="AN15" s="128" t="str">
        <f>IF(AND(Z15&gt;Summary!$C$5, Z15&lt;=Summary!$D$5),Summary!$B$5,IF(AND(Z15&gt;Summary!$C$6, Z15&lt;=Summary!$D$6),Summary!$B$6,IF(AND(Z15&gt;Summary!$C$7, Z15&lt;=Summary!$D$7),Summary!$B$7,Summary!$B$8)))</f>
        <v>△</v>
      </c>
      <c r="AO15" s="14" t="s">
        <v>174</v>
      </c>
      <c r="AP15" s="14"/>
      <c r="AQ15" s="14"/>
      <c r="AR15" s="151"/>
      <c r="AS15" s="151" t="s">
        <v>168</v>
      </c>
      <c r="AT15" s="99" t="s">
        <v>724</v>
      </c>
      <c r="AU15" s="80" t="s">
        <v>909</v>
      </c>
      <c r="AV15" s="4" t="s">
        <v>168</v>
      </c>
      <c r="AW15" s="6">
        <v>10.9</v>
      </c>
      <c r="AX15" s="6">
        <v>35</v>
      </c>
      <c r="AY15" s="33">
        <f t="shared" si="17"/>
        <v>0.31142857142857144</v>
      </c>
      <c r="AZ15" s="42">
        <v>0.20699999999999999</v>
      </c>
      <c r="BA15" s="3">
        <v>9</v>
      </c>
      <c r="BB15" s="37">
        <f t="shared" si="18"/>
        <v>43.478260869565219</v>
      </c>
      <c r="BC15" s="3">
        <v>9</v>
      </c>
      <c r="BD15" s="3">
        <v>9</v>
      </c>
      <c r="BE15" s="80" t="s">
        <v>910</v>
      </c>
      <c r="BF15" s="4" t="s">
        <v>168</v>
      </c>
      <c r="BG15" s="6">
        <v>11.1</v>
      </c>
      <c r="BH15" s="6">
        <v>32</v>
      </c>
      <c r="BI15" s="33">
        <f t="shared" si="19"/>
        <v>0.34687499999999999</v>
      </c>
      <c r="BJ15" s="42">
        <v>0.33300000000000002</v>
      </c>
      <c r="BK15" s="3">
        <v>3</v>
      </c>
      <c r="BL15" s="37">
        <f t="shared" si="20"/>
        <v>9.0090090090090094</v>
      </c>
      <c r="BM15" s="3">
        <v>3</v>
      </c>
      <c r="BN15" s="3">
        <v>3</v>
      </c>
      <c r="BO15" s="80" t="s">
        <v>911</v>
      </c>
      <c r="BP15" s="4" t="s">
        <v>168</v>
      </c>
      <c r="BQ15" s="6">
        <v>23</v>
      </c>
      <c r="BR15" s="6">
        <v>39</v>
      </c>
      <c r="BS15" s="33">
        <f t="shared" si="21"/>
        <v>0.58974358974358976</v>
      </c>
      <c r="BT15" s="42">
        <v>0.43</v>
      </c>
      <c r="BU15" s="3">
        <v>3</v>
      </c>
      <c r="BV15" s="37">
        <f t="shared" si="43"/>
        <v>6.9767441860465116</v>
      </c>
      <c r="BW15" s="3">
        <v>3</v>
      </c>
      <c r="BX15" s="3">
        <v>3</v>
      </c>
      <c r="BY15" s="80" t="s">
        <v>912</v>
      </c>
      <c r="BZ15" s="4" t="s">
        <v>168</v>
      </c>
      <c r="CA15" s="6">
        <v>11</v>
      </c>
      <c r="CB15" s="6">
        <v>20</v>
      </c>
      <c r="CC15" s="33">
        <f t="shared" si="22"/>
        <v>0.55000000000000004</v>
      </c>
      <c r="CD15" s="42">
        <v>0.1</v>
      </c>
      <c r="CE15" s="3">
        <v>1</v>
      </c>
      <c r="CF15" s="37">
        <f t="shared" si="23"/>
        <v>10</v>
      </c>
      <c r="CG15" s="3">
        <v>1</v>
      </c>
      <c r="CH15" s="3">
        <v>1</v>
      </c>
      <c r="CI15" s="80" t="s">
        <v>913</v>
      </c>
      <c r="CJ15" s="4" t="s">
        <v>168</v>
      </c>
      <c r="CK15" s="6">
        <v>20</v>
      </c>
      <c r="CL15" s="6">
        <v>29</v>
      </c>
      <c r="CM15" s="33">
        <f t="shared" si="24"/>
        <v>0.68965517241379315</v>
      </c>
      <c r="CN15" s="42">
        <v>0.13900000000000001</v>
      </c>
      <c r="CO15" s="3">
        <v>2</v>
      </c>
      <c r="CP15" s="37">
        <f t="shared" si="25"/>
        <v>14.388489208633093</v>
      </c>
      <c r="CQ15" s="3">
        <v>2</v>
      </c>
      <c r="CR15" s="3">
        <v>2</v>
      </c>
      <c r="CS15" s="80" t="s">
        <v>914</v>
      </c>
      <c r="CT15" s="4"/>
      <c r="CU15" s="6">
        <v>14</v>
      </c>
      <c r="CV15" s="6">
        <v>28</v>
      </c>
      <c r="CW15" s="33">
        <f t="shared" si="26"/>
        <v>0.5</v>
      </c>
      <c r="CX15" s="42"/>
      <c r="CY15" s="3"/>
      <c r="CZ15" s="37" t="str">
        <f t="shared" si="27"/>
        <v/>
      </c>
      <c r="DA15" s="3"/>
      <c r="DB15" s="3"/>
      <c r="DC15" s="80" t="s">
        <v>915</v>
      </c>
      <c r="DD15" s="4"/>
      <c r="DE15" s="6">
        <v>11</v>
      </c>
      <c r="DF15" s="6">
        <v>27</v>
      </c>
      <c r="DG15" s="33">
        <f t="shared" si="28"/>
        <v>0.40740740740740738</v>
      </c>
      <c r="DH15" s="42">
        <v>0.76700000000000002</v>
      </c>
      <c r="DI15" s="3"/>
      <c r="DJ15" s="37" t="str">
        <f t="shared" si="29"/>
        <v/>
      </c>
      <c r="DK15" s="3"/>
      <c r="DL15" s="3"/>
      <c r="DM15" s="80" t="s">
        <v>916</v>
      </c>
      <c r="DN15" s="4" t="s">
        <v>168</v>
      </c>
      <c r="DO15" s="6">
        <v>26.3</v>
      </c>
      <c r="DP15" s="6">
        <v>19</v>
      </c>
      <c r="DQ15" s="33">
        <f t="shared" si="30"/>
        <v>1.3842105263157896</v>
      </c>
      <c r="DR15" s="42">
        <v>1.2430000000000001</v>
      </c>
      <c r="DS15" s="3">
        <v>5</v>
      </c>
      <c r="DT15" s="37">
        <f>IFERROR(IF(DS15="","",DS15/DR15)," ")</f>
        <v>4.0225261464199518</v>
      </c>
      <c r="DU15" s="3">
        <v>5</v>
      </c>
      <c r="DV15" s="3">
        <v>5</v>
      </c>
      <c r="DW15" s="80" t="s">
        <v>917</v>
      </c>
      <c r="DX15" s="4"/>
      <c r="DY15" s="6">
        <v>17.7</v>
      </c>
      <c r="DZ15" s="6"/>
      <c r="EA15" s="33" t="str">
        <f t="shared" si="31"/>
        <v/>
      </c>
      <c r="EB15" s="42">
        <v>0.436</v>
      </c>
      <c r="EC15" s="3"/>
      <c r="ED15" s="37" t="str">
        <f t="shared" si="32"/>
        <v/>
      </c>
      <c r="EE15" s="3"/>
      <c r="EF15" s="3"/>
      <c r="EG15" s="80" t="s">
        <v>918</v>
      </c>
      <c r="EH15" s="4"/>
      <c r="EI15" s="6">
        <v>11.2</v>
      </c>
      <c r="EJ15" s="6"/>
      <c r="EK15" s="33" t="str">
        <f t="shared" si="33"/>
        <v/>
      </c>
      <c r="EL15" s="42">
        <v>0.32800000000000001</v>
      </c>
      <c r="EM15" s="3"/>
      <c r="EN15" s="37" t="str">
        <f t="shared" si="34"/>
        <v/>
      </c>
      <c r="EO15" s="3"/>
      <c r="EP15" s="3"/>
      <c r="EQ15" s="80" t="s">
        <v>919</v>
      </c>
      <c r="ER15" s="4"/>
      <c r="ES15" s="6">
        <v>15.9</v>
      </c>
      <c r="ET15" s="6"/>
      <c r="EU15" s="33" t="str">
        <f t="shared" si="35"/>
        <v/>
      </c>
      <c r="EV15" s="42">
        <v>0.19600000000000001</v>
      </c>
      <c r="EW15" s="3" t="s">
        <v>876</v>
      </c>
      <c r="EX15" s="37" t="str">
        <f t="shared" si="36"/>
        <v/>
      </c>
      <c r="EY15" s="3"/>
      <c r="EZ15" s="3"/>
      <c r="FA15" s="4"/>
      <c r="FB15" s="4"/>
      <c r="FC15" s="6"/>
      <c r="FD15" s="6"/>
      <c r="FE15" s="33" t="str">
        <f t="shared" si="37"/>
        <v/>
      </c>
      <c r="FF15" s="42"/>
      <c r="FG15" s="3"/>
      <c r="FH15" s="37" t="str">
        <f t="shared" si="38"/>
        <v/>
      </c>
      <c r="FI15" s="3"/>
      <c r="FJ15" s="3"/>
      <c r="FM15" s="54">
        <f t="shared" si="44"/>
        <v>4.1790000000000003</v>
      </c>
      <c r="FN15" s="54">
        <f t="shared" si="44"/>
        <v>23</v>
      </c>
      <c r="FO15" s="471">
        <f t="shared" si="39"/>
        <v>172.1</v>
      </c>
      <c r="FP15" s="471">
        <f t="shared" si="39"/>
        <v>229</v>
      </c>
    </row>
    <row r="16" spans="2:172" ht="242.1" hidden="1">
      <c r="B16" s="3" t="s">
        <v>920</v>
      </c>
      <c r="C16" s="3" t="s">
        <v>287</v>
      </c>
      <c r="D16" s="3" t="s">
        <v>224</v>
      </c>
      <c r="E16" s="4">
        <v>10</v>
      </c>
      <c r="F16" s="123" t="str">
        <f t="shared" si="1"/>
        <v>×
[P・Q]
×・×</v>
      </c>
      <c r="G16" s="123" t="str">
        <f t="shared" si="2"/>
        <v>×
[P・Q]
--・--</v>
      </c>
      <c r="H16" s="123" t="str">
        <f t="shared" si="3"/>
        <v>×
[P・Q]
--・--</v>
      </c>
      <c r="I16" s="123" t="str">
        <f t="shared" si="4"/>
        <v>×
[P・Q]
×・○</v>
      </c>
      <c r="J16" s="123" t="str">
        <f t="shared" si="5"/>
        <v>○
[P・Q]
○・○</v>
      </c>
      <c r="K16" s="123" t="str">
        <f t="shared" si="45"/>
        <v>○
[P・Q]
○・○</v>
      </c>
      <c r="L16" s="123" t="str">
        <f t="shared" si="15"/>
        <v>×
[P・Q]
--・--</v>
      </c>
      <c r="M16" s="123" t="str">
        <f t="shared" si="16"/>
        <v>×
[P・Q]
--・--</v>
      </c>
      <c r="N16" s="123" t="str">
        <f t="shared" si="6"/>
        <v>×
[P・Q]
○・×</v>
      </c>
      <c r="O16" s="123" t="str">
        <f>IF($E16&lt;O$9,"",IF(AND(EK16&gt;0.6,EN16&lt;=8,EO16=EP16),"○","×")&amp;CHAR(10)&amp;"[P・Q]"&amp;CHAR(10)&amp;IF(EK16="","--",IF(EK16&gt;0.6,"○","×"))&amp;IF(EN16="","・--",IF(EN16&lt;=8,"・○","・×")))</f>
        <v>○
[P・Q]
○・○</v>
      </c>
      <c r="P16" s="123" t="str">
        <f t="shared" si="7"/>
        <v/>
      </c>
      <c r="Q16" s="123" t="str">
        <f t="shared" si="8"/>
        <v/>
      </c>
      <c r="R16" s="76">
        <f t="shared" si="9"/>
        <v>0.6</v>
      </c>
      <c r="S16" s="28">
        <v>5</v>
      </c>
      <c r="T16" s="4">
        <v>3</v>
      </c>
      <c r="U16" s="4">
        <v>3</v>
      </c>
      <c r="V16" s="4">
        <v>5</v>
      </c>
      <c r="W16" s="77">
        <f t="shared" si="10"/>
        <v>15</v>
      </c>
      <c r="X16" s="77">
        <f t="shared" si="11"/>
        <v>15</v>
      </c>
      <c r="Y16" s="77" cm="1">
        <f t="array" ref="Y16">_xlfn.IFS(R16&gt;=0.8,5,R16&gt;=0.6,3,R16&gt;=0.2,1,R16&lt;0.2,0)</f>
        <v>3</v>
      </c>
      <c r="Z16" s="55">
        <f t="shared" si="40"/>
        <v>49</v>
      </c>
      <c r="AA16" s="5" t="s">
        <v>921</v>
      </c>
      <c r="AB16" s="5" t="s">
        <v>904</v>
      </c>
      <c r="AC16" s="80" t="s">
        <v>226</v>
      </c>
      <c r="AD16" s="5" t="s">
        <v>922</v>
      </c>
      <c r="AE16" s="5"/>
      <c r="AF16" s="5"/>
      <c r="AG16" s="310">
        <f>TaskEndDay!H66</f>
        <v>0.9</v>
      </c>
      <c r="AH16" s="201">
        <f>IFERROR(AVERAGE(AY16,BI16,BS16,CC16,CM16,CW16,DG16,DQ16,EA16,EK16)," ")</f>
        <v>0.78288242087039894</v>
      </c>
      <c r="AI16" s="202">
        <f>IFERROR(AVERAGE(BB16,BL16,BV16,CF16,CP16,CZ16,DJ16,DT16,ED16,EN16)," ")</f>
        <v>4.2635836465891535</v>
      </c>
      <c r="AJ16" s="80" t="str">
        <f t="shared" si="12"/>
        <v>HIGH</v>
      </c>
      <c r="AK16" s="191" t="str">
        <f t="shared" si="13"/>
        <v>HIGH</v>
      </c>
      <c r="AL16" s="29" t="s">
        <v>923</v>
      </c>
      <c r="AM16" s="5" t="s">
        <v>924</v>
      </c>
      <c r="AN16" s="128" t="str">
        <f>IF(AND(Z16&gt;Summary!$C$5, Z16&lt;=Summary!$D$5),Summary!$B$5,IF(AND(Z16&gt;Summary!$C$6, Z16&lt;=Summary!$D$6),Summary!$B$6,IF(AND(Z16&gt;Summary!$C$7, Z16&lt;=Summary!$D$7),Summary!$B$7,Summary!$B$8)))</f>
        <v>△</v>
      </c>
      <c r="AO16" s="14" t="s">
        <v>168</v>
      </c>
      <c r="AP16" s="14"/>
      <c r="AQ16" s="14"/>
      <c r="AR16" s="151"/>
      <c r="AS16" s="151" t="s">
        <v>168</v>
      </c>
      <c r="AT16" s="130" t="s">
        <v>892</v>
      </c>
      <c r="AU16" s="80" t="s">
        <v>925</v>
      </c>
      <c r="AV16" s="4" t="s">
        <v>168</v>
      </c>
      <c r="AW16" s="6">
        <v>11</v>
      </c>
      <c r="AX16" s="6">
        <v>32</v>
      </c>
      <c r="AY16" s="33">
        <f t="shared" si="17"/>
        <v>0.34375</v>
      </c>
      <c r="AZ16" s="42">
        <v>0.27</v>
      </c>
      <c r="BA16" s="3">
        <v>3</v>
      </c>
      <c r="BB16" s="37">
        <f t="shared" si="18"/>
        <v>11.111111111111111</v>
      </c>
      <c r="BC16" s="3">
        <v>3</v>
      </c>
      <c r="BD16" s="3">
        <v>3</v>
      </c>
      <c r="BE16" s="80" t="s">
        <v>926</v>
      </c>
      <c r="BF16" s="4"/>
      <c r="BG16" s="6">
        <v>23.6</v>
      </c>
      <c r="BH16" s="6" t="s">
        <v>876</v>
      </c>
      <c r="BI16" s="33" t="str">
        <f t="shared" si="19"/>
        <v/>
      </c>
      <c r="BJ16" s="42">
        <v>1.056</v>
      </c>
      <c r="BK16" s="3" t="s">
        <v>876</v>
      </c>
      <c r="BL16" s="37" t="str">
        <f t="shared" si="20"/>
        <v/>
      </c>
      <c r="BM16" s="3" t="s">
        <v>876</v>
      </c>
      <c r="BN16" s="3" t="s">
        <v>876</v>
      </c>
      <c r="BO16" s="80" t="s">
        <v>927</v>
      </c>
      <c r="BP16" s="4"/>
      <c r="BQ16" s="6">
        <v>11</v>
      </c>
      <c r="BR16" s="6" t="s">
        <v>876</v>
      </c>
      <c r="BS16" s="33" t="str">
        <f t="shared" si="21"/>
        <v/>
      </c>
      <c r="BT16" s="42">
        <v>0.22800000000000001</v>
      </c>
      <c r="BU16" s="3"/>
      <c r="BV16" s="37" t="str">
        <f t="shared" si="43"/>
        <v/>
      </c>
      <c r="BW16" s="3" t="s">
        <v>876</v>
      </c>
      <c r="BX16" s="3" t="s">
        <v>876</v>
      </c>
      <c r="BY16" s="80" t="s">
        <v>928</v>
      </c>
      <c r="BZ16" s="4" t="s">
        <v>168</v>
      </c>
      <c r="CA16" s="6">
        <v>14</v>
      </c>
      <c r="CB16" s="6">
        <v>64.5</v>
      </c>
      <c r="CC16" s="33">
        <f t="shared" si="22"/>
        <v>0.21705426356589147</v>
      </c>
      <c r="CD16" s="42">
        <v>0.14399999999999999</v>
      </c>
      <c r="CE16" s="3">
        <v>0</v>
      </c>
      <c r="CF16" s="37">
        <f t="shared" si="23"/>
        <v>0</v>
      </c>
      <c r="CG16" s="3">
        <v>0</v>
      </c>
      <c r="CH16" s="3">
        <v>0</v>
      </c>
      <c r="CI16" s="80" t="s">
        <v>929</v>
      </c>
      <c r="CJ16" s="4" t="s">
        <v>168</v>
      </c>
      <c r="CK16" s="6">
        <v>26.2</v>
      </c>
      <c r="CL16" s="6">
        <v>26</v>
      </c>
      <c r="CM16" s="33">
        <f t="shared" si="24"/>
        <v>1.0076923076923077</v>
      </c>
      <c r="CN16" s="42">
        <v>0.81499999999999995</v>
      </c>
      <c r="CO16" s="3">
        <f>0</f>
        <v>0</v>
      </c>
      <c r="CP16" s="37">
        <f t="shared" si="25"/>
        <v>0</v>
      </c>
      <c r="CQ16" s="3">
        <f>0</f>
        <v>0</v>
      </c>
      <c r="CR16" s="3">
        <f>0</f>
        <v>0</v>
      </c>
      <c r="CS16" s="80" t="s">
        <v>930</v>
      </c>
      <c r="CT16" s="4" t="s">
        <v>168</v>
      </c>
      <c r="CU16" s="6">
        <v>16.600000000000001</v>
      </c>
      <c r="CV16" s="6">
        <v>23</v>
      </c>
      <c r="CW16" s="33">
        <f t="shared" si="26"/>
        <v>0.72173913043478266</v>
      </c>
      <c r="CX16" s="42">
        <v>0.93</v>
      </c>
      <c r="CY16" s="3">
        <v>1</v>
      </c>
      <c r="CZ16" s="37">
        <f t="shared" si="27"/>
        <v>1.075268817204301</v>
      </c>
      <c r="DA16" s="3">
        <v>1</v>
      </c>
      <c r="DB16" s="3">
        <v>1</v>
      </c>
      <c r="DC16" s="80" t="s">
        <v>931</v>
      </c>
      <c r="DD16" s="4"/>
      <c r="DE16" s="6">
        <v>18.2</v>
      </c>
      <c r="DF16" s="6"/>
      <c r="DG16" s="33" t="str">
        <f t="shared" si="28"/>
        <v/>
      </c>
      <c r="DH16" s="42"/>
      <c r="DI16" s="3"/>
      <c r="DJ16" s="37" t="str">
        <f>IF(DI16="","",DI16/DH16)</f>
        <v/>
      </c>
      <c r="DK16" s="3"/>
      <c r="DL16" s="3"/>
      <c r="DM16" s="80" t="s">
        <v>932</v>
      </c>
      <c r="DN16" s="4"/>
      <c r="DO16" s="6">
        <v>18.2</v>
      </c>
      <c r="DP16" s="6"/>
      <c r="DQ16" s="33" t="str">
        <f t="shared" si="30"/>
        <v/>
      </c>
      <c r="DR16" s="42"/>
      <c r="DS16" s="3"/>
      <c r="DT16" s="37" t="str">
        <f t="shared" ref="DT16:DT28" si="46">IFERROR(IF(DS16="","",DS16/DR16)," ")</f>
        <v/>
      </c>
      <c r="DU16" s="3"/>
      <c r="DV16" s="3"/>
      <c r="DW16" s="80" t="s">
        <v>933</v>
      </c>
      <c r="DX16" s="4" t="s">
        <v>168</v>
      </c>
      <c r="DY16" s="6">
        <v>11</v>
      </c>
      <c r="DZ16" s="6">
        <v>17</v>
      </c>
      <c r="EA16" s="33">
        <f t="shared" si="31"/>
        <v>0.6470588235294118</v>
      </c>
      <c r="EB16" s="42">
        <v>0.41</v>
      </c>
      <c r="EC16" s="3">
        <v>5</v>
      </c>
      <c r="ED16" s="37">
        <f t="shared" si="32"/>
        <v>12.195121951219512</v>
      </c>
      <c r="EE16" s="3">
        <v>5</v>
      </c>
      <c r="EF16" s="3">
        <v>5</v>
      </c>
      <c r="EG16" s="80" t="s">
        <v>934</v>
      </c>
      <c r="EH16" s="4" t="s">
        <v>168</v>
      </c>
      <c r="EI16" s="6">
        <v>26.4</v>
      </c>
      <c r="EJ16" s="6">
        <v>15</v>
      </c>
      <c r="EK16" s="33">
        <f t="shared" si="33"/>
        <v>1.76</v>
      </c>
      <c r="EL16" s="42">
        <v>2.5</v>
      </c>
      <c r="EM16" s="3">
        <v>3</v>
      </c>
      <c r="EN16" s="37">
        <f t="shared" si="34"/>
        <v>1.2</v>
      </c>
      <c r="EO16" s="3">
        <v>3</v>
      </c>
      <c r="EP16" s="3">
        <v>3</v>
      </c>
      <c r="EQ16" s="80" t="s">
        <v>935</v>
      </c>
      <c r="ER16" s="4"/>
      <c r="ES16" s="6">
        <v>15.9</v>
      </c>
      <c r="ET16" s="6"/>
      <c r="EU16" s="33" t="str">
        <f t="shared" si="35"/>
        <v/>
      </c>
      <c r="EV16" s="42"/>
      <c r="EW16" s="3" t="s">
        <v>876</v>
      </c>
      <c r="EX16" s="37" t="str">
        <f t="shared" si="36"/>
        <v/>
      </c>
      <c r="EY16" s="3"/>
      <c r="EZ16" s="3"/>
      <c r="FA16" s="4"/>
      <c r="FB16" s="4"/>
      <c r="FC16" s="6"/>
      <c r="FD16" s="6"/>
      <c r="FE16" s="33" t="str">
        <f t="shared" si="37"/>
        <v/>
      </c>
      <c r="FF16" s="42"/>
      <c r="FG16" s="3"/>
      <c r="FH16" s="37" t="str">
        <f t="shared" si="38"/>
        <v/>
      </c>
      <c r="FI16" s="3"/>
      <c r="FJ16" s="3"/>
      <c r="FM16" s="54">
        <f t="shared" si="44"/>
        <v>6.3529999999999998</v>
      </c>
      <c r="FN16" s="54">
        <f t="shared" si="44"/>
        <v>12</v>
      </c>
      <c r="FO16" s="471">
        <f t="shared" si="39"/>
        <v>192.1</v>
      </c>
      <c r="FP16" s="471">
        <f t="shared" si="39"/>
        <v>177.5</v>
      </c>
    </row>
    <row r="17" spans="2:172" ht="204.75" hidden="1" customHeight="1">
      <c r="B17" s="3" t="s">
        <v>936</v>
      </c>
      <c r="C17" s="3" t="s">
        <v>223</v>
      </c>
      <c r="D17" s="3" t="s">
        <v>313</v>
      </c>
      <c r="E17" s="4">
        <v>8</v>
      </c>
      <c r="F17" s="123" t="str">
        <f t="shared" si="1"/>
        <v>×
[P・Q]
×・×</v>
      </c>
      <c r="G17" s="123" t="str">
        <f t="shared" si="2"/>
        <v>×
[P・Q]
×・×</v>
      </c>
      <c r="H17" s="123" t="str">
        <f t="shared" si="3"/>
        <v>×
[P・Q]
×・×</v>
      </c>
      <c r="I17" s="123" t="str">
        <f t="shared" si="4"/>
        <v>×
[P・Q]
×・○</v>
      </c>
      <c r="J17" s="123" t="str">
        <f t="shared" si="5"/>
        <v>×
[P・Q]
×・○</v>
      </c>
      <c r="K17" s="123" t="str">
        <f t="shared" si="45"/>
        <v>×
[P・Q]
○・--</v>
      </c>
      <c r="L17" s="123" t="str">
        <f t="shared" si="15"/>
        <v>×
[P・Q]
×・○</v>
      </c>
      <c r="M17" s="123" t="str">
        <f t="shared" si="16"/>
        <v>×
[P・Q]
○・--</v>
      </c>
      <c r="N17" s="123" t="str">
        <f t="shared" si="6"/>
        <v/>
      </c>
      <c r="O17" s="123" t="str">
        <f>IF($E17&lt;O$9,"",IF(AND(EK17&gt;0.6,EN17&lt;=8,EO17=EP17),"○","×")&amp;CHAR(10)&amp;"[P・Q]"&amp;CHAR(10)&amp;IF(EK17="","--",IF(EK17&gt;0.6,"○","×"))&amp;IF(EN17="","・--",IF(EN17&lt;=8,"・○","・×")))</f>
        <v/>
      </c>
      <c r="P17" s="123" t="str">
        <f t="shared" si="7"/>
        <v/>
      </c>
      <c r="Q17" s="123" t="str">
        <f t="shared" si="8"/>
        <v/>
      </c>
      <c r="R17" s="76">
        <f t="shared" si="9"/>
        <v>0.75</v>
      </c>
      <c r="S17" s="28">
        <v>3</v>
      </c>
      <c r="T17" s="4">
        <v>5</v>
      </c>
      <c r="U17" s="4">
        <v>5</v>
      </c>
      <c r="V17" s="4">
        <v>5</v>
      </c>
      <c r="W17" s="77">
        <f t="shared" si="10"/>
        <v>9.375</v>
      </c>
      <c r="X17" s="77">
        <f t="shared" si="11"/>
        <v>14.0625</v>
      </c>
      <c r="Y17" s="77" cm="1">
        <f t="array" ref="Y17">_xlfn.IFS(R17&gt;=0.8,5,R17&gt;=0.6,3,R17&gt;=0.2,1,R17&lt;0.2,0)</f>
        <v>3</v>
      </c>
      <c r="Z17" s="55">
        <f t="shared" si="40"/>
        <v>44.4375</v>
      </c>
      <c r="AA17" s="5" t="s">
        <v>937</v>
      </c>
      <c r="AB17" s="5" t="s">
        <v>938</v>
      </c>
      <c r="AC17" s="191" t="s">
        <v>226</v>
      </c>
      <c r="AD17" s="5" t="s">
        <v>939</v>
      </c>
      <c r="AE17" s="5"/>
      <c r="AF17" s="5" t="s">
        <v>940</v>
      </c>
      <c r="AG17" s="310">
        <f>TaskEndDay!H67</f>
        <v>0.75</v>
      </c>
      <c r="AH17" s="201">
        <f>IFERROR(AVERAGE(AY17,BI17,BS17,CC17,CM17,CW17,DG17,DQ17,EA17,EK17)," ")</f>
        <v>0.68850290420144633</v>
      </c>
      <c r="AI17" s="202">
        <f>IFERROR(AVERAGE(BB17,BL17,BV17,CF17,CP17,CZ17,DJ17,DT17,ED17,EN17)," ")</f>
        <v>7.996119756709156</v>
      </c>
      <c r="AJ17" s="80" t="str">
        <f t="shared" si="12"/>
        <v>HIGH</v>
      </c>
      <c r="AK17" s="191" t="str">
        <f t="shared" si="13"/>
        <v>HIGH</v>
      </c>
      <c r="AL17" s="5" t="s">
        <v>941</v>
      </c>
      <c r="AM17" s="5" t="s">
        <v>942</v>
      </c>
      <c r="AN17" s="128" t="str">
        <f>IF(AND(Z17&gt;Summary!$C$5, Z17&lt;=Summary!$D$5),Summary!$B$5,IF(AND(Z17&gt;Summary!$C$6, Z17&lt;=Summary!$D$6),Summary!$B$6,IF(AND(Z17&gt;Summary!$C$7, Z17&lt;=Summary!$D$7),Summary!$B$7,Summary!$B$8)))</f>
        <v>△</v>
      </c>
      <c r="AO17" s="14" t="s">
        <v>168</v>
      </c>
      <c r="AP17" s="14"/>
      <c r="AQ17" s="14"/>
      <c r="AR17" s="14"/>
      <c r="AS17" s="14" t="s">
        <v>168</v>
      </c>
      <c r="AT17" s="99" t="s">
        <v>943</v>
      </c>
      <c r="AU17" s="80" t="s">
        <v>944</v>
      </c>
      <c r="AV17" s="4" t="s">
        <v>168</v>
      </c>
      <c r="AW17" s="6">
        <v>11.1</v>
      </c>
      <c r="AX17" s="6">
        <v>31.5</v>
      </c>
      <c r="AY17" s="33">
        <f t="shared" si="17"/>
        <v>0.35238095238095235</v>
      </c>
      <c r="AZ17" s="42">
        <v>0.127</v>
      </c>
      <c r="BA17" s="3">
        <v>2</v>
      </c>
      <c r="BB17" s="37">
        <f t="shared" si="18"/>
        <v>15.748031496062993</v>
      </c>
      <c r="BC17" s="3">
        <v>2</v>
      </c>
      <c r="BD17" s="3">
        <v>2</v>
      </c>
      <c r="BE17" s="80" t="s">
        <v>945</v>
      </c>
      <c r="BF17" s="4" t="s">
        <v>168</v>
      </c>
      <c r="BG17" s="6">
        <v>20.100000000000001</v>
      </c>
      <c r="BH17" s="6">
        <v>38</v>
      </c>
      <c r="BI17" s="33">
        <f t="shared" si="19"/>
        <v>0.52894736842105272</v>
      </c>
      <c r="BJ17" s="42">
        <v>0.41499999999999998</v>
      </c>
      <c r="BK17" s="3">
        <v>4</v>
      </c>
      <c r="BL17" s="37">
        <f t="shared" si="20"/>
        <v>9.6385542168674707</v>
      </c>
      <c r="BM17" s="3">
        <v>4</v>
      </c>
      <c r="BN17" s="3">
        <v>4</v>
      </c>
      <c r="BO17" s="80" t="s">
        <v>946</v>
      </c>
      <c r="BP17" s="4" t="s">
        <v>168</v>
      </c>
      <c r="BQ17" s="6">
        <v>11.1</v>
      </c>
      <c r="BR17" s="6">
        <v>36</v>
      </c>
      <c r="BS17" s="33">
        <f t="shared" si="21"/>
        <v>0.30833333333333335</v>
      </c>
      <c r="BT17" s="42">
        <v>0.2</v>
      </c>
      <c r="BU17" s="3">
        <v>3</v>
      </c>
      <c r="BV17" s="37">
        <f t="shared" si="43"/>
        <v>15</v>
      </c>
      <c r="BW17" s="3">
        <v>3</v>
      </c>
      <c r="BX17" s="3">
        <v>3</v>
      </c>
      <c r="BY17" s="80" t="s">
        <v>947</v>
      </c>
      <c r="BZ17" s="4" t="s">
        <v>168</v>
      </c>
      <c r="CA17" s="6">
        <v>11</v>
      </c>
      <c r="CB17" s="6">
        <v>22</v>
      </c>
      <c r="CC17" s="33">
        <f t="shared" si="22"/>
        <v>0.5</v>
      </c>
      <c r="CD17" s="42">
        <v>9.0999999999999998E-2</v>
      </c>
      <c r="CE17" s="3">
        <v>0</v>
      </c>
      <c r="CF17" s="37">
        <f t="shared" si="23"/>
        <v>0</v>
      </c>
      <c r="CG17" s="3">
        <v>0</v>
      </c>
      <c r="CH17" s="3">
        <v>0</v>
      </c>
      <c r="CI17" s="80" t="s">
        <v>948</v>
      </c>
      <c r="CJ17" s="4" t="s">
        <v>168</v>
      </c>
      <c r="CK17" s="6">
        <v>11.2</v>
      </c>
      <c r="CL17" s="6">
        <v>38</v>
      </c>
      <c r="CM17" s="33">
        <f t="shared" si="24"/>
        <v>0.29473684210526313</v>
      </c>
      <c r="CN17" s="42">
        <v>0.41499999999999998</v>
      </c>
      <c r="CO17" s="3">
        <v>0</v>
      </c>
      <c r="CP17" s="37">
        <f t="shared" si="25"/>
        <v>0</v>
      </c>
      <c r="CQ17" s="3">
        <v>0</v>
      </c>
      <c r="CR17" s="3">
        <v>0</v>
      </c>
      <c r="CS17" s="80" t="s">
        <v>949</v>
      </c>
      <c r="CT17" s="4"/>
      <c r="CU17" s="6">
        <v>23.1</v>
      </c>
      <c r="CV17" s="6">
        <v>22.5</v>
      </c>
      <c r="CW17" s="33">
        <f t="shared" si="26"/>
        <v>1.0266666666666668</v>
      </c>
      <c r="CX17" s="42"/>
      <c r="CY17" s="3"/>
      <c r="CZ17" s="37" t="str">
        <f>IF(CY17="","",CY17/CX17)</f>
        <v/>
      </c>
      <c r="DA17" s="3"/>
      <c r="DB17" s="3"/>
      <c r="DC17" s="80" t="s">
        <v>950</v>
      </c>
      <c r="DD17" s="4" t="s">
        <v>168</v>
      </c>
      <c r="DE17" s="6">
        <v>23.2</v>
      </c>
      <c r="DF17" s="6">
        <v>44.5</v>
      </c>
      <c r="DG17" s="33">
        <f t="shared" si="28"/>
        <v>0.52134831460674158</v>
      </c>
      <c r="DH17" s="42">
        <v>0.52700000000000002</v>
      </c>
      <c r="DI17" s="3">
        <v>4</v>
      </c>
      <c r="DJ17" s="37">
        <f t="shared" si="29"/>
        <v>7.5901328273244779</v>
      </c>
      <c r="DK17" s="3">
        <v>4</v>
      </c>
      <c r="DL17" s="3">
        <v>4</v>
      </c>
      <c r="DM17" s="80" t="s">
        <v>951</v>
      </c>
      <c r="DN17" s="4"/>
      <c r="DO17" s="6">
        <v>40.5</v>
      </c>
      <c r="DP17" s="6">
        <v>20.5</v>
      </c>
      <c r="DQ17" s="33">
        <f t="shared" si="30"/>
        <v>1.975609756097561</v>
      </c>
      <c r="DR17" s="42"/>
      <c r="DS17" s="3"/>
      <c r="DT17" s="37" t="str">
        <f t="shared" si="46"/>
        <v/>
      </c>
      <c r="DU17" s="3"/>
      <c r="DV17" s="3"/>
      <c r="DW17" s="80"/>
      <c r="DX17" s="4"/>
      <c r="DY17" s="6"/>
      <c r="DZ17" s="6"/>
      <c r="EA17" s="33" t="str">
        <f t="shared" si="31"/>
        <v/>
      </c>
      <c r="EB17" s="42"/>
      <c r="EC17" s="3"/>
      <c r="ED17" s="37" t="str">
        <f t="shared" si="32"/>
        <v/>
      </c>
      <c r="EE17" s="3"/>
      <c r="EF17" s="3"/>
      <c r="EG17" s="80"/>
      <c r="EH17" s="4"/>
      <c r="EI17" s="6"/>
      <c r="EJ17" s="6"/>
      <c r="EK17" s="33" t="str">
        <f t="shared" si="33"/>
        <v/>
      </c>
      <c r="EL17" s="42"/>
      <c r="EM17" s="3"/>
      <c r="EN17" s="37" t="str">
        <f t="shared" si="34"/>
        <v/>
      </c>
      <c r="EO17" s="3"/>
      <c r="EP17" s="3"/>
      <c r="EQ17" s="80"/>
      <c r="ER17" s="4"/>
      <c r="ES17" s="6"/>
      <c r="ET17" s="6"/>
      <c r="EU17" s="33" t="str">
        <f t="shared" si="35"/>
        <v/>
      </c>
      <c r="EV17" s="42"/>
      <c r="EW17" s="3"/>
      <c r="EX17" s="37" t="str">
        <f t="shared" si="36"/>
        <v/>
      </c>
      <c r="EY17" s="3"/>
      <c r="EZ17" s="3"/>
      <c r="FA17" s="4"/>
      <c r="FB17" s="4"/>
      <c r="FC17" s="6"/>
      <c r="FD17" s="6"/>
      <c r="FE17" s="33" t="str">
        <f t="shared" si="37"/>
        <v/>
      </c>
      <c r="FF17" s="42"/>
      <c r="FG17" s="3"/>
      <c r="FH17" s="37" t="str">
        <f t="shared" si="38"/>
        <v/>
      </c>
      <c r="FI17" s="3"/>
      <c r="FJ17" s="3"/>
      <c r="FM17" s="54">
        <f t="shared" si="44"/>
        <v>1.7749999999999999</v>
      </c>
      <c r="FN17" s="54">
        <f t="shared" si="44"/>
        <v>13</v>
      </c>
      <c r="FO17" s="471">
        <f t="shared" si="39"/>
        <v>151.30000000000001</v>
      </c>
      <c r="FP17" s="471">
        <f t="shared" si="39"/>
        <v>253</v>
      </c>
    </row>
    <row r="18" spans="2:172" ht="186.95">
      <c r="B18" s="3" t="s">
        <v>952</v>
      </c>
      <c r="C18" s="3" t="s">
        <v>223</v>
      </c>
      <c r="D18" s="3" t="s">
        <v>224</v>
      </c>
      <c r="E18" s="4">
        <v>8</v>
      </c>
      <c r="F18" s="123" t="str">
        <f t="shared" si="1"/>
        <v>×
[P・Q]
×・×</v>
      </c>
      <c r="G18" s="123" t="str">
        <f t="shared" si="2"/>
        <v>×
[P・Q]
--・--</v>
      </c>
      <c r="H18" s="123" t="str">
        <f t="shared" si="3"/>
        <v>○
[P・Q]
○・○</v>
      </c>
      <c r="I18" s="123" t="str">
        <f t="shared" si="4"/>
        <v>×
[P・Q]
--・--</v>
      </c>
      <c r="J18" s="123" t="str">
        <f t="shared" si="5"/>
        <v>×
[P・Q]
○・×</v>
      </c>
      <c r="K18" s="123" t="str">
        <f t="shared" si="45"/>
        <v>○
[P・Q]
○・○</v>
      </c>
      <c r="L18" s="123" t="str">
        <f t="shared" si="15"/>
        <v>×
[P・Q]
--・--</v>
      </c>
      <c r="M18" s="123" t="str">
        <f t="shared" si="16"/>
        <v>×
[P・Q]
○・×</v>
      </c>
      <c r="N18" s="123" t="str">
        <f t="shared" si="6"/>
        <v/>
      </c>
      <c r="O18" s="123" t="str">
        <f>IF($E18&lt;O$9,"",IF(AND(EK18&gt;0.6,EN18&lt;=8,EO18=EP18),"○","×")&amp;CHAR(10)&amp;"[P・Q]"&amp;CHAR(10)&amp;IF(EK18="","--",IF(EK18&gt;0.6,"○","×"))&amp;IF(EN18="","・--",IF(EN18&lt;=8,"・○","・×")))</f>
        <v/>
      </c>
      <c r="P18" s="123" t="str">
        <f t="shared" si="7"/>
        <v/>
      </c>
      <c r="Q18" s="123" t="str">
        <f t="shared" si="8"/>
        <v/>
      </c>
      <c r="R18" s="76">
        <f t="shared" si="9"/>
        <v>0.625</v>
      </c>
      <c r="S18" s="28">
        <v>5</v>
      </c>
      <c r="T18" s="4">
        <v>5</v>
      </c>
      <c r="U18" s="4">
        <v>3</v>
      </c>
      <c r="V18" s="4">
        <v>3</v>
      </c>
      <c r="W18" s="77">
        <f t="shared" si="10"/>
        <v>18.75</v>
      </c>
      <c r="X18" s="77">
        <f t="shared" si="11"/>
        <v>9.375</v>
      </c>
      <c r="Y18" s="77" cm="1">
        <f t="array" ref="Y18">_xlfn.IFS(R18&gt;=0.8,5,R18&gt;=0.6,3,R18&gt;=0.2,1,R18&lt;0.2,0)</f>
        <v>3</v>
      </c>
      <c r="Z18" s="55">
        <f t="shared" si="40"/>
        <v>47.125</v>
      </c>
      <c r="AA18" s="5" t="s">
        <v>953</v>
      </c>
      <c r="AB18" s="5" t="s">
        <v>954</v>
      </c>
      <c r="AC18" s="191" t="s">
        <v>226</v>
      </c>
      <c r="AD18" s="5" t="s">
        <v>955</v>
      </c>
      <c r="AE18" s="5"/>
      <c r="AF18" s="5"/>
      <c r="AG18" s="310">
        <f>TaskEndDay!H68</f>
        <v>1</v>
      </c>
      <c r="AH18" s="201">
        <f>IFERROR(AVERAGE(AY18,BI18,BS18,CC18,CM18,CW18,DG18,DQ18,EA18,EK18)," ")</f>
        <v>0.98462265834076701</v>
      </c>
      <c r="AI18" s="202">
        <f>IFERROR(AVERAGE(BB18,BL18,BV18,CF18,CP18,CZ18,DJ18,DT18,ED18,EN18)," ")</f>
        <v>17.179030707120596</v>
      </c>
      <c r="AJ18" s="80" t="str">
        <f t="shared" si="12"/>
        <v>HIGH</v>
      </c>
      <c r="AK18" s="191" t="str">
        <f t="shared" si="13"/>
        <v>LOW</v>
      </c>
      <c r="AL18" s="29" t="s">
        <v>956</v>
      </c>
      <c r="AM18" s="5" t="s">
        <v>957</v>
      </c>
      <c r="AN18" s="128" t="str">
        <f>IF(AND(Z18&gt;Summary!$C$5, Z18&lt;=Summary!$D$5),Summary!$B$5,IF(AND(Z18&gt;Summary!$C$6, Z18&lt;=Summary!$D$6),Summary!$B$6,IF(AND(Z18&gt;Summary!$C$7, Z18&lt;=Summary!$D$7),Summary!$B$7,Summary!$B$8)))</f>
        <v>△</v>
      </c>
      <c r="AO18" s="14" t="s">
        <v>168</v>
      </c>
      <c r="AP18" s="14"/>
      <c r="AQ18" s="14"/>
      <c r="AR18" s="14"/>
      <c r="AS18" s="14" t="s">
        <v>168</v>
      </c>
      <c r="AT18" s="29" t="s">
        <v>874</v>
      </c>
      <c r="AU18" s="80" t="s">
        <v>958</v>
      </c>
      <c r="AV18" s="4" t="s">
        <v>168</v>
      </c>
      <c r="AW18" s="6">
        <v>11.1</v>
      </c>
      <c r="AX18" s="6">
        <v>29.5</v>
      </c>
      <c r="AY18" s="33">
        <f t="shared" si="17"/>
        <v>0.37627118644067797</v>
      </c>
      <c r="AZ18" s="42">
        <v>0.17799999999999999</v>
      </c>
      <c r="BA18" s="3">
        <v>4</v>
      </c>
      <c r="BB18" s="37">
        <f t="shared" si="18"/>
        <v>22.471910112359552</v>
      </c>
      <c r="BC18" s="3">
        <v>4</v>
      </c>
      <c r="BD18" s="3">
        <v>4</v>
      </c>
      <c r="BE18" s="80" t="s">
        <v>959</v>
      </c>
      <c r="BF18" s="4"/>
      <c r="BG18" s="6">
        <v>11.1</v>
      </c>
      <c r="BH18" s="6" t="s">
        <v>876</v>
      </c>
      <c r="BI18" s="33" t="str">
        <f t="shared" si="19"/>
        <v/>
      </c>
      <c r="BJ18" s="42" t="s">
        <v>876</v>
      </c>
      <c r="BK18" s="3" t="s">
        <v>876</v>
      </c>
      <c r="BL18" s="37" t="str">
        <f t="shared" si="20"/>
        <v/>
      </c>
      <c r="BM18" s="3" t="s">
        <v>876</v>
      </c>
      <c r="BN18" s="3" t="s">
        <v>876</v>
      </c>
      <c r="BO18" s="80" t="s">
        <v>960</v>
      </c>
      <c r="BP18" s="4" t="s">
        <v>168</v>
      </c>
      <c r="BQ18" s="6">
        <v>23.2</v>
      </c>
      <c r="BR18" s="6">
        <v>30</v>
      </c>
      <c r="BS18" s="33">
        <f t="shared" si="21"/>
        <v>0.77333333333333332</v>
      </c>
      <c r="BT18" s="42">
        <v>0.52500000000000002</v>
      </c>
      <c r="BU18" s="3">
        <v>4</v>
      </c>
      <c r="BV18" s="37">
        <f t="shared" si="43"/>
        <v>7.6190476190476186</v>
      </c>
      <c r="BW18" s="3">
        <v>4</v>
      </c>
      <c r="BX18" s="3">
        <v>4</v>
      </c>
      <c r="BY18" s="80" t="s">
        <v>961</v>
      </c>
      <c r="BZ18" s="4"/>
      <c r="CA18" s="6">
        <v>17.399999999999999</v>
      </c>
      <c r="CB18" s="6" t="s">
        <v>876</v>
      </c>
      <c r="CC18" s="33" t="str">
        <f t="shared" si="22"/>
        <v/>
      </c>
      <c r="CD18" s="42" t="s">
        <v>876</v>
      </c>
      <c r="CE18" s="3" t="s">
        <v>876</v>
      </c>
      <c r="CF18" s="37" t="str">
        <f t="shared" si="23"/>
        <v/>
      </c>
      <c r="CG18" s="3" t="s">
        <v>876</v>
      </c>
      <c r="CH18" s="3" t="s">
        <v>876</v>
      </c>
      <c r="CI18" s="80" t="s">
        <v>962</v>
      </c>
      <c r="CJ18" s="4" t="s">
        <v>168</v>
      </c>
      <c r="CK18" s="6">
        <v>15.9</v>
      </c>
      <c r="CL18" s="6">
        <v>19</v>
      </c>
      <c r="CM18" s="33">
        <f t="shared" si="24"/>
        <v>0.83684210526315794</v>
      </c>
      <c r="CN18" s="42">
        <v>8.7999999999999995E-2</v>
      </c>
      <c r="CO18" s="3">
        <v>2</v>
      </c>
      <c r="CP18" s="37">
        <f t="shared" si="25"/>
        <v>22.72727272727273</v>
      </c>
      <c r="CQ18" s="3">
        <v>2</v>
      </c>
      <c r="CR18" s="3">
        <v>2</v>
      </c>
      <c r="CS18" s="80" t="s">
        <v>963</v>
      </c>
      <c r="CT18" s="4" t="s">
        <v>168</v>
      </c>
      <c r="CU18" s="6">
        <v>11.1</v>
      </c>
      <c r="CV18" s="6">
        <v>18</v>
      </c>
      <c r="CW18" s="33">
        <f t="shared" si="26"/>
        <v>0.6166666666666667</v>
      </c>
      <c r="CX18" s="42">
        <v>0.32500000000000001</v>
      </c>
      <c r="CY18" s="3">
        <v>1</v>
      </c>
      <c r="CZ18" s="37">
        <f t="shared" si="27"/>
        <v>3.0769230769230766</v>
      </c>
      <c r="DA18" s="3">
        <v>1</v>
      </c>
      <c r="DB18" s="3">
        <v>1</v>
      </c>
      <c r="DC18" s="80" t="s">
        <v>964</v>
      </c>
      <c r="DD18" s="4"/>
      <c r="DE18" s="6">
        <v>66.7</v>
      </c>
      <c r="DF18" s="6"/>
      <c r="DG18" s="33" t="str">
        <f t="shared" si="28"/>
        <v/>
      </c>
      <c r="DH18" s="42"/>
      <c r="DI18" s="3"/>
      <c r="DJ18" s="37" t="str">
        <f t="shared" si="29"/>
        <v/>
      </c>
      <c r="DK18" s="3"/>
      <c r="DL18" s="3"/>
      <c r="DM18" s="80" t="s">
        <v>965</v>
      </c>
      <c r="DN18" s="4" t="s">
        <v>168</v>
      </c>
      <c r="DO18" s="6">
        <v>23.2</v>
      </c>
      <c r="DP18" s="6">
        <v>10</v>
      </c>
      <c r="DQ18" s="33">
        <f t="shared" si="30"/>
        <v>2.3199999999999998</v>
      </c>
      <c r="DR18" s="42">
        <v>0.1</v>
      </c>
      <c r="DS18" s="3">
        <v>3</v>
      </c>
      <c r="DT18" s="37">
        <f t="shared" si="46"/>
        <v>30</v>
      </c>
      <c r="DU18" s="3">
        <v>3</v>
      </c>
      <c r="DV18" s="3">
        <v>3</v>
      </c>
      <c r="DW18" s="80" t="s">
        <v>966</v>
      </c>
      <c r="DX18" s="4"/>
      <c r="DY18" s="6">
        <v>16.399999999999999</v>
      </c>
      <c r="DZ18" s="6"/>
      <c r="EA18" s="33" t="str">
        <f t="shared" si="31"/>
        <v/>
      </c>
      <c r="EB18" s="42">
        <v>3.6999999999999998E-2</v>
      </c>
      <c r="EC18" s="3"/>
      <c r="ED18" s="37" t="str">
        <f t="shared" si="32"/>
        <v/>
      </c>
      <c r="EE18" s="3"/>
      <c r="EF18" s="3"/>
      <c r="EG18" s="80"/>
      <c r="EH18" s="4"/>
      <c r="EI18" s="6"/>
      <c r="EJ18" s="6"/>
      <c r="EK18" s="33" t="str">
        <f t="shared" si="33"/>
        <v/>
      </c>
      <c r="EL18" s="42"/>
      <c r="EM18" s="3"/>
      <c r="EN18" s="37" t="str">
        <f t="shared" si="34"/>
        <v/>
      </c>
      <c r="EO18" s="3"/>
      <c r="EP18" s="3"/>
      <c r="EQ18" s="80"/>
      <c r="ER18" s="4"/>
      <c r="ES18" s="6"/>
      <c r="ET18" s="6"/>
      <c r="EU18" s="33" t="str">
        <f t="shared" si="35"/>
        <v/>
      </c>
      <c r="EV18" s="42"/>
      <c r="EW18" s="3"/>
      <c r="EX18" s="37" t="str">
        <f t="shared" si="36"/>
        <v/>
      </c>
      <c r="EY18" s="3"/>
      <c r="EZ18" s="3"/>
      <c r="FA18" s="4"/>
      <c r="FB18" s="4"/>
      <c r="FC18" s="6"/>
      <c r="FD18" s="6"/>
      <c r="FE18" s="33" t="str">
        <f t="shared" si="37"/>
        <v/>
      </c>
      <c r="FF18" s="42"/>
      <c r="FG18" s="3"/>
      <c r="FH18" s="37" t="str">
        <f t="shared" si="38"/>
        <v/>
      </c>
      <c r="FI18" s="3"/>
      <c r="FJ18" s="3"/>
      <c r="FM18" s="54">
        <f t="shared" si="44"/>
        <v>1.2530000000000001</v>
      </c>
      <c r="FN18" s="54">
        <f t="shared" si="44"/>
        <v>14</v>
      </c>
      <c r="FO18" s="471">
        <f t="shared" si="39"/>
        <v>196.09999999999997</v>
      </c>
      <c r="FP18" s="471">
        <f t="shared" si="39"/>
        <v>106.5</v>
      </c>
    </row>
    <row r="19" spans="2:172" ht="219.95">
      <c r="B19" s="27" t="s">
        <v>967</v>
      </c>
      <c r="C19" s="27" t="s">
        <v>223</v>
      </c>
      <c r="D19" s="3" t="s">
        <v>224</v>
      </c>
      <c r="E19" s="4">
        <f>10-3</f>
        <v>7</v>
      </c>
      <c r="F19" s="123" t="str">
        <f t="shared" si="1"/>
        <v>×
[P・Q]
×・×</v>
      </c>
      <c r="G19" s="123" t="str">
        <f t="shared" si="2"/>
        <v>×
[P・Q]
×・×</v>
      </c>
      <c r="H19" s="123" t="str">
        <f t="shared" si="3"/>
        <v>×
[P・Q]
×・×</v>
      </c>
      <c r="I19" s="123" t="str">
        <f t="shared" si="4"/>
        <v>×
[P・Q]
×・○</v>
      </c>
      <c r="J19" s="123" t="str">
        <f t="shared" si="5"/>
        <v>○
[P・Q]
○・○</v>
      </c>
      <c r="K19" s="123" t="str">
        <f t="shared" si="45"/>
        <v>×
[P・Q]
○・○</v>
      </c>
      <c r="L19" s="123" t="str">
        <f t="shared" si="15"/>
        <v>○
[P・Q]
○・○</v>
      </c>
      <c r="M19" s="123"/>
      <c r="N19" s="123"/>
      <c r="O19" s="123"/>
      <c r="P19" s="123" t="str">
        <f t="shared" si="7"/>
        <v/>
      </c>
      <c r="Q19" s="123" t="str">
        <f t="shared" si="8"/>
        <v/>
      </c>
      <c r="R19" s="76">
        <f t="shared" si="9"/>
        <v>1</v>
      </c>
      <c r="S19" s="28">
        <v>5</v>
      </c>
      <c r="T19" s="4">
        <v>5</v>
      </c>
      <c r="U19" s="4">
        <v>3</v>
      </c>
      <c r="V19" s="4">
        <v>3</v>
      </c>
      <c r="W19" s="77">
        <f t="shared" si="10"/>
        <v>16.071428571428569</v>
      </c>
      <c r="X19" s="77">
        <f t="shared" si="11"/>
        <v>16.071428571428569</v>
      </c>
      <c r="Y19" s="77" cm="1">
        <f t="array" ref="Y19">_xlfn.IFS(R19&gt;=0.8,5,R19&gt;=0.6,3,R19&gt;=0.2,1,R19&lt;0.2,0)</f>
        <v>5</v>
      </c>
      <c r="Z19" s="55">
        <f t="shared" si="40"/>
        <v>53.142857142857139</v>
      </c>
      <c r="AA19" s="5" t="s">
        <v>968</v>
      </c>
      <c r="AB19" s="5" t="s">
        <v>904</v>
      </c>
      <c r="AC19" s="191" t="s">
        <v>226</v>
      </c>
      <c r="AD19" s="5" t="s">
        <v>969</v>
      </c>
      <c r="AE19" s="5"/>
      <c r="AF19" s="5"/>
      <c r="AG19" s="310">
        <f>TaskEndDay!H69</f>
        <v>1</v>
      </c>
      <c r="AH19" s="201">
        <f>IFERROR(AVERAGE(AY19,BI19,BS19,CC19,CM19,CW19,DG19,DQ19,EA19,EK19)," ")</f>
        <v>0.6602669697249528</v>
      </c>
      <c r="AI19" s="202">
        <f>IFERROR(AVERAGE(BB19,BL19,BV19,CF19,CP19,CZ19,DJ19,DT19,ED19,EN19)," ")</f>
        <v>26.918309947239656</v>
      </c>
      <c r="AJ19" s="80" t="str">
        <f t="shared" si="12"/>
        <v>HIGH</v>
      </c>
      <c r="AK19" s="191" t="str">
        <f t="shared" si="13"/>
        <v>LOW</v>
      </c>
      <c r="AL19" t="s">
        <v>970</v>
      </c>
      <c r="AM19" s="5" t="s">
        <v>971</v>
      </c>
      <c r="AN19" s="128" t="str">
        <f>IF(AND(Z19&gt;Summary!$C$5, Z19&lt;=Summary!$D$5),Summary!$B$5,IF(AND(Z19&gt;Summary!$C$6, Z19&lt;=Summary!$D$6),Summary!$B$6,IF(AND(Z19&gt;Summary!$C$7, Z19&lt;=Summary!$D$7),Summary!$B$7,Summary!$B$8)))</f>
        <v>○</v>
      </c>
      <c r="AO19" s="14" t="s">
        <v>168</v>
      </c>
      <c r="AP19" s="14"/>
      <c r="AQ19" s="14"/>
      <c r="AR19" s="14"/>
      <c r="AS19" s="14" t="s">
        <v>168</v>
      </c>
      <c r="AT19" s="29" t="s">
        <v>837</v>
      </c>
      <c r="AU19" s="80" t="s">
        <v>972</v>
      </c>
      <c r="AV19" s="4" t="s">
        <v>168</v>
      </c>
      <c r="AW19" s="6">
        <v>10.9</v>
      </c>
      <c r="AX19" s="6">
        <v>25</v>
      </c>
      <c r="AY19" s="33">
        <f t="shared" si="17"/>
        <v>0.436</v>
      </c>
      <c r="AZ19" s="42">
        <v>0.11700000000000001</v>
      </c>
      <c r="BA19" s="3">
        <v>8</v>
      </c>
      <c r="BB19" s="37">
        <f t="shared" si="18"/>
        <v>68.376068376068375</v>
      </c>
      <c r="BC19" s="3">
        <v>8</v>
      </c>
      <c r="BD19" s="3">
        <v>8</v>
      </c>
      <c r="BE19" s="80" t="s">
        <v>973</v>
      </c>
      <c r="BF19" s="4" t="s">
        <v>168</v>
      </c>
      <c r="BG19" s="6">
        <v>10.9</v>
      </c>
      <c r="BH19" s="6">
        <v>26</v>
      </c>
      <c r="BI19" s="33">
        <f t="shared" si="19"/>
        <v>0.41923076923076924</v>
      </c>
      <c r="BJ19" s="42">
        <v>0.10100000000000001</v>
      </c>
      <c r="BK19" s="3">
        <v>8</v>
      </c>
      <c r="BL19" s="37">
        <f t="shared" si="20"/>
        <v>79.207920792079207</v>
      </c>
      <c r="BM19" s="3">
        <v>8</v>
      </c>
      <c r="BN19" s="3">
        <v>8</v>
      </c>
      <c r="BO19" s="80" t="s">
        <v>974</v>
      </c>
      <c r="BP19" s="4" t="s">
        <v>168</v>
      </c>
      <c r="BQ19" s="6">
        <v>10.9</v>
      </c>
      <c r="BR19" s="6">
        <v>22</v>
      </c>
      <c r="BS19" s="33">
        <f t="shared" si="21"/>
        <v>0.49545454545454548</v>
      </c>
      <c r="BT19" s="42">
        <v>0.193</v>
      </c>
      <c r="BU19" s="3">
        <v>6</v>
      </c>
      <c r="BV19" s="37">
        <f t="shared" si="43"/>
        <v>31.088082901554404</v>
      </c>
      <c r="BW19" s="3">
        <v>6</v>
      </c>
      <c r="BX19" s="3">
        <v>6</v>
      </c>
      <c r="BY19" s="80" t="s">
        <v>975</v>
      </c>
      <c r="BZ19" s="4" t="s">
        <v>168</v>
      </c>
      <c r="CA19" s="6">
        <v>11.1</v>
      </c>
      <c r="CB19" s="6">
        <v>24</v>
      </c>
      <c r="CC19" s="33">
        <f t="shared" si="22"/>
        <v>0.46249999999999997</v>
      </c>
      <c r="CD19" s="42">
        <v>0.36499999999999999</v>
      </c>
      <c r="CE19" s="3">
        <f>0</f>
        <v>0</v>
      </c>
      <c r="CF19" s="37">
        <f t="shared" si="23"/>
        <v>0</v>
      </c>
      <c r="CG19" s="3">
        <f>0</f>
        <v>0</v>
      </c>
      <c r="CH19" s="3">
        <f>0</f>
        <v>0</v>
      </c>
      <c r="CI19" s="80" t="s">
        <v>976</v>
      </c>
      <c r="CJ19" s="4" t="s">
        <v>168</v>
      </c>
      <c r="CK19" s="6">
        <v>14.2</v>
      </c>
      <c r="CL19" s="6">
        <v>21</v>
      </c>
      <c r="CM19" s="33">
        <f t="shared" si="24"/>
        <v>0.67619047619047612</v>
      </c>
      <c r="CN19" s="42">
        <v>0.217</v>
      </c>
      <c r="CO19" s="3">
        <f>0</f>
        <v>0</v>
      </c>
      <c r="CP19" s="37">
        <f t="shared" si="25"/>
        <v>0</v>
      </c>
      <c r="CQ19" s="3">
        <f>0</f>
        <v>0</v>
      </c>
      <c r="CR19" s="3">
        <f>0</f>
        <v>0</v>
      </c>
      <c r="CS19" s="80" t="s">
        <v>977</v>
      </c>
      <c r="CT19" s="4" t="s">
        <v>168</v>
      </c>
      <c r="CU19" s="6">
        <v>16</v>
      </c>
      <c r="CV19" s="6">
        <v>21</v>
      </c>
      <c r="CW19" s="33">
        <f t="shared" si="26"/>
        <v>0.76190476190476186</v>
      </c>
      <c r="CX19" s="42">
        <v>0.20499999999999999</v>
      </c>
      <c r="CY19" s="3">
        <v>2</v>
      </c>
      <c r="CZ19" s="37">
        <f t="shared" si="27"/>
        <v>9.7560975609756095</v>
      </c>
      <c r="DA19" s="3">
        <v>2</v>
      </c>
      <c r="DB19" s="3">
        <v>2</v>
      </c>
      <c r="DC19" s="80" t="s">
        <v>978</v>
      </c>
      <c r="DD19" s="4" t="s">
        <v>168</v>
      </c>
      <c r="DE19" s="6">
        <v>23.3</v>
      </c>
      <c r="DF19" s="6">
        <v>17</v>
      </c>
      <c r="DG19" s="33">
        <f t="shared" si="28"/>
        <v>1.3705882352941177</v>
      </c>
      <c r="DH19" s="42">
        <v>0.20499999999999999</v>
      </c>
      <c r="DI19" s="3">
        <f>0</f>
        <v>0</v>
      </c>
      <c r="DJ19" s="37">
        <f t="shared" si="29"/>
        <v>0</v>
      </c>
      <c r="DK19" s="3">
        <f>0</f>
        <v>0</v>
      </c>
      <c r="DL19" s="3">
        <f>0</f>
        <v>0</v>
      </c>
      <c r="DM19" s="80"/>
      <c r="DN19" s="4"/>
      <c r="DO19" s="6"/>
      <c r="DP19" s="6"/>
      <c r="DQ19" s="33" t="str">
        <f t="shared" si="30"/>
        <v/>
      </c>
      <c r="DR19" s="42"/>
      <c r="DS19" s="3"/>
      <c r="DT19" s="37" t="str">
        <f t="shared" si="46"/>
        <v/>
      </c>
      <c r="DU19" s="3"/>
      <c r="DV19" s="3"/>
      <c r="DW19" s="80"/>
      <c r="DX19" s="4"/>
      <c r="DY19" s="6"/>
      <c r="DZ19" s="6"/>
      <c r="EA19" s="33" t="str">
        <f t="shared" si="31"/>
        <v/>
      </c>
      <c r="EB19" s="42"/>
      <c r="EC19" s="3"/>
      <c r="ED19" s="37" t="str">
        <f t="shared" si="32"/>
        <v/>
      </c>
      <c r="EE19" s="3"/>
      <c r="EF19" s="3"/>
      <c r="EG19" s="80"/>
      <c r="EH19" s="4"/>
      <c r="EI19" s="6"/>
      <c r="EJ19" s="6"/>
      <c r="EK19" s="33" t="str">
        <f t="shared" si="33"/>
        <v/>
      </c>
      <c r="EL19" s="42"/>
      <c r="EM19" s="3"/>
      <c r="EN19" s="37" t="str">
        <f t="shared" si="34"/>
        <v/>
      </c>
      <c r="EO19" s="3"/>
      <c r="EP19" s="3"/>
      <c r="EQ19" s="80"/>
      <c r="ER19" s="4"/>
      <c r="ES19" s="6"/>
      <c r="ET19" s="6"/>
      <c r="EU19" s="33" t="str">
        <f t="shared" si="35"/>
        <v/>
      </c>
      <c r="EV19" s="42"/>
      <c r="EW19" s="3"/>
      <c r="EX19" s="37" t="str">
        <f t="shared" si="36"/>
        <v/>
      </c>
      <c r="EY19" s="3"/>
      <c r="EZ19" s="3"/>
      <c r="FA19" s="4"/>
      <c r="FB19" s="4"/>
      <c r="FC19" s="6"/>
      <c r="FD19" s="6"/>
      <c r="FE19" s="33" t="str">
        <f t="shared" si="37"/>
        <v/>
      </c>
      <c r="FF19" s="42"/>
      <c r="FG19" s="3"/>
      <c r="FH19" s="37" t="str">
        <f t="shared" si="38"/>
        <v/>
      </c>
      <c r="FI19" s="3"/>
      <c r="FJ19" s="3"/>
      <c r="FM19" s="54">
        <f t="shared" si="44"/>
        <v>1.403</v>
      </c>
      <c r="FN19" s="54">
        <f t="shared" si="44"/>
        <v>24</v>
      </c>
      <c r="FO19" s="471">
        <f t="shared" si="39"/>
        <v>97.300000000000011</v>
      </c>
      <c r="FP19" s="471">
        <f t="shared" si="39"/>
        <v>156</v>
      </c>
    </row>
    <row r="20" spans="2:172" ht="99">
      <c r="B20" s="3" t="s">
        <v>979</v>
      </c>
      <c r="C20" s="3" t="s">
        <v>300</v>
      </c>
      <c r="D20" s="3" t="s">
        <v>224</v>
      </c>
      <c r="E20" s="4">
        <v>7</v>
      </c>
      <c r="F20" s="123" t="str">
        <f t="shared" si="1"/>
        <v>○
[P・Q]
○・○</v>
      </c>
      <c r="G20" s="123" t="str">
        <f t="shared" si="2"/>
        <v>○
[P・Q]
○・○</v>
      </c>
      <c r="H20" s="123" t="str">
        <f t="shared" si="3"/>
        <v>×
[P・Q]
○・×</v>
      </c>
      <c r="I20" s="123" t="str">
        <f t="shared" si="4"/>
        <v>×
[P・Q]
○・×</v>
      </c>
      <c r="J20" s="123" t="str">
        <f t="shared" si="5"/>
        <v>×
[P・Q]
○・×</v>
      </c>
      <c r="K20" s="123" t="str">
        <f t="shared" si="45"/>
        <v>×
[P・Q]
×・○</v>
      </c>
      <c r="L20" s="123" t="str">
        <f t="shared" si="15"/>
        <v>×
[P・Q]
--・--</v>
      </c>
      <c r="M20" s="123" t="str">
        <f>IF($E20&lt;M$9,"",IF(AND(DQ20&gt;0.6,DT20&lt;=8,DU20=DV20),"○","×")&amp;CHAR(10)&amp;"[P・Q]"&amp;CHAR(10)&amp;IF(DQ20="","--",IF(DQ20&gt;0.6,"○","×"))&amp;IF(DT20="","・--",IF(DT20&lt;=8,"・○","・×")))</f>
        <v/>
      </c>
      <c r="N20" s="123" t="str">
        <f t="shared" ref="N20:N31" si="47">IF($E20&lt;N$9,"",IF(AND(EA20&gt;0.6,ED20&lt;=8,EE20=EF20),"○","×")&amp;CHAR(10)&amp;"[P・Q]"&amp;CHAR(10)&amp;IF(EA20="","--",IF(EA20&gt;0.6,"○","×"))&amp;IF(ED20="","・--",IF(ED20&lt;=8,"・○","・×")))</f>
        <v/>
      </c>
      <c r="O20" s="123" t="str">
        <f>IF($E20&lt;O$9,"",IF(AND(EK20&gt;0.6,EN20&lt;=8,EO20=EP20),"○","×")&amp;CHAR(10)&amp;"[P・Q]"&amp;CHAR(10)&amp;IF(EK20="","--",IF(EK20&gt;0.6,"○","×"))&amp;IF(EN20="","・--",IF(EN20&lt;=8,"・○","・×")))</f>
        <v/>
      </c>
      <c r="P20" s="123" t="str">
        <f t="shared" si="7"/>
        <v/>
      </c>
      <c r="Q20" s="123" t="str">
        <f t="shared" si="8"/>
        <v/>
      </c>
      <c r="R20" s="76">
        <f t="shared" si="9"/>
        <v>1</v>
      </c>
      <c r="S20" s="28">
        <v>5</v>
      </c>
      <c r="T20" s="4">
        <v>5</v>
      </c>
      <c r="U20" s="4">
        <v>5</v>
      </c>
      <c r="V20" s="4">
        <v>5</v>
      </c>
      <c r="W20" s="77">
        <f t="shared" si="10"/>
        <v>26.785714285714285</v>
      </c>
      <c r="X20" s="77">
        <f t="shared" si="11"/>
        <v>16.071428571428569</v>
      </c>
      <c r="Y20" s="77" cm="1">
        <f t="array" ref="Y20">_xlfn.IFS(R20&gt;=0.8,5,R20&gt;=0.6,3,R20&gt;=0.2,1,R20&lt;0.2,0)</f>
        <v>5</v>
      </c>
      <c r="Z20" s="55">
        <f t="shared" si="40"/>
        <v>67.857142857142861</v>
      </c>
      <c r="AA20" s="5" t="s">
        <v>980</v>
      </c>
      <c r="AB20" s="5" t="s">
        <v>981</v>
      </c>
      <c r="AC20" s="186" t="s">
        <v>251</v>
      </c>
      <c r="AD20" s="130" t="s">
        <v>982</v>
      </c>
      <c r="AE20" s="14" t="s">
        <v>174</v>
      </c>
      <c r="AF20" s="5" t="s">
        <v>983</v>
      </c>
      <c r="AG20" s="5"/>
      <c r="AH20" s="201">
        <f>IFERROR(AVERAGE(AY20,BI20,BS20,CC20,CM20,CW20,DG20,DQ20,EA20,EK20,EU20)," ")</f>
        <v>0.87951142478920252</v>
      </c>
      <c r="AI20" s="202">
        <f>IFERROR(AVERAGE(BB20,BL20,BV20,CF20,CP20,CZ20,DJ20,DT20,ED20,EN20,EX20)," ")</f>
        <v>49.56150094160234</v>
      </c>
      <c r="AJ20" s="80" t="str">
        <f t="shared" si="12"/>
        <v>HIGH</v>
      </c>
      <c r="AK20" s="356" t="str">
        <f t="shared" si="13"/>
        <v>LOW</v>
      </c>
      <c r="AL20" s="130"/>
      <c r="AM20" s="130"/>
      <c r="AN20" s="128" t="str">
        <f>IF(AND(Z20&gt;Summary!$C$5, Z20&lt;=Summary!$D$5),Summary!$B$5,IF(AND(Z20&gt;Summary!$C$6, Z20&lt;=Summary!$D$6),Summary!$B$6,IF(AND(Z20&gt;Summary!$C$7, Z20&lt;=Summary!$D$7),Summary!$B$7,Summary!$B$8)))</f>
        <v>○</v>
      </c>
      <c r="AO20" s="14" t="s">
        <v>168</v>
      </c>
      <c r="AP20" s="14"/>
      <c r="AQ20" s="14" t="s">
        <v>168</v>
      </c>
      <c r="AR20" s="14"/>
      <c r="AS20" s="14"/>
      <c r="AT20" s="5" t="s">
        <v>892</v>
      </c>
      <c r="AU20" s="80" t="s">
        <v>984</v>
      </c>
      <c r="AV20" s="4" t="s">
        <v>168</v>
      </c>
      <c r="AW20" s="6">
        <v>23.6</v>
      </c>
      <c r="AX20" s="6">
        <v>32.5</v>
      </c>
      <c r="AY20" s="33">
        <f t="shared" si="17"/>
        <v>0.72615384615384615</v>
      </c>
      <c r="AZ20" s="42">
        <v>5.49</v>
      </c>
      <c r="BA20" s="3">
        <v>6</v>
      </c>
      <c r="BB20" s="37">
        <f t="shared" si="18"/>
        <v>1.0928961748633879</v>
      </c>
      <c r="BC20" s="3">
        <v>6</v>
      </c>
      <c r="BD20" s="3">
        <v>6</v>
      </c>
      <c r="BE20" s="80" t="s">
        <v>985</v>
      </c>
      <c r="BF20" s="4" t="s">
        <v>168</v>
      </c>
      <c r="BG20" s="6">
        <v>38.299999999999997</v>
      </c>
      <c r="BH20" s="6">
        <v>20</v>
      </c>
      <c r="BI20" s="33">
        <f t="shared" si="19"/>
        <v>1.9149999999999998</v>
      </c>
      <c r="BJ20" s="42">
        <v>2.7189999999999999</v>
      </c>
      <c r="BK20" s="3">
        <v>9</v>
      </c>
      <c r="BL20" s="37">
        <f t="shared" si="20"/>
        <v>3.3100404560500185</v>
      </c>
      <c r="BM20" s="3">
        <v>9</v>
      </c>
      <c r="BN20" s="3">
        <v>9</v>
      </c>
      <c r="BO20" s="80" t="s">
        <v>986</v>
      </c>
      <c r="BP20" s="4" t="s">
        <v>168</v>
      </c>
      <c r="BQ20" s="6">
        <v>11</v>
      </c>
      <c r="BR20" s="6">
        <v>15</v>
      </c>
      <c r="BS20" s="33">
        <f t="shared" si="21"/>
        <v>0.73333333333333328</v>
      </c>
      <c r="BT20" s="42">
        <v>0.156</v>
      </c>
      <c r="BU20" s="3">
        <v>5</v>
      </c>
      <c r="BV20" s="37">
        <f t="shared" si="43"/>
        <v>32.051282051282051</v>
      </c>
      <c r="BW20" s="3">
        <v>5</v>
      </c>
      <c r="BX20" s="3">
        <v>5</v>
      </c>
      <c r="BY20" s="80" t="s">
        <v>987</v>
      </c>
      <c r="BZ20" s="4" t="s">
        <v>168</v>
      </c>
      <c r="CA20" s="6">
        <v>11</v>
      </c>
      <c r="CB20" s="6">
        <v>16.5</v>
      </c>
      <c r="CC20" s="33">
        <f t="shared" si="22"/>
        <v>0.66666666666666663</v>
      </c>
      <c r="CD20" s="42">
        <v>0.06</v>
      </c>
      <c r="CE20" s="3">
        <v>5</v>
      </c>
      <c r="CF20" s="37">
        <f t="shared" si="23"/>
        <v>83.333333333333343</v>
      </c>
      <c r="CG20" s="3">
        <v>5</v>
      </c>
      <c r="CH20" s="3">
        <v>5</v>
      </c>
      <c r="CI20" s="80" t="s">
        <v>988</v>
      </c>
      <c r="CJ20" s="4" t="s">
        <v>168</v>
      </c>
      <c r="CK20" s="6">
        <v>10.9</v>
      </c>
      <c r="CL20" s="6">
        <v>16.5</v>
      </c>
      <c r="CM20" s="33">
        <f t="shared" si="24"/>
        <v>0.66060606060606064</v>
      </c>
      <c r="CN20" s="42">
        <v>5.7000000000000002E-2</v>
      </c>
      <c r="CO20" s="3">
        <v>10</v>
      </c>
      <c r="CP20" s="37">
        <f t="shared" si="25"/>
        <v>175.43859649122805</v>
      </c>
      <c r="CQ20" s="3">
        <v>10</v>
      </c>
      <c r="CR20" s="3">
        <v>10</v>
      </c>
      <c r="CS20" s="80" t="s">
        <v>989</v>
      </c>
      <c r="CT20" s="4" t="s">
        <v>168</v>
      </c>
      <c r="CU20" s="6">
        <v>23.3</v>
      </c>
      <c r="CV20" s="6">
        <v>40.5</v>
      </c>
      <c r="CW20" s="33">
        <f t="shared" si="26"/>
        <v>0.57530864197530862</v>
      </c>
      <c r="CX20" s="42">
        <v>2.8</v>
      </c>
      <c r="CY20" s="3">
        <v>6</v>
      </c>
      <c r="CZ20" s="37">
        <f t="shared" si="27"/>
        <v>2.1428571428571428</v>
      </c>
      <c r="DA20" s="3">
        <v>6</v>
      </c>
      <c r="DB20" s="3">
        <v>6</v>
      </c>
      <c r="DC20" s="80" t="s">
        <v>990</v>
      </c>
      <c r="DD20" s="4" t="s">
        <v>168</v>
      </c>
      <c r="DE20" s="6">
        <v>24.8</v>
      </c>
      <c r="DF20" s="6"/>
      <c r="DG20" s="33" t="str">
        <f t="shared" si="28"/>
        <v/>
      </c>
      <c r="DH20" s="42"/>
      <c r="DI20" s="3"/>
      <c r="DJ20" s="37" t="str">
        <f t="shared" si="29"/>
        <v/>
      </c>
      <c r="DK20" s="3"/>
      <c r="DL20" s="3"/>
      <c r="DM20" s="80"/>
      <c r="DN20" s="4"/>
      <c r="DO20" s="6"/>
      <c r="DP20" s="6"/>
      <c r="DQ20" s="33" t="str">
        <f t="shared" si="30"/>
        <v/>
      </c>
      <c r="DR20" s="42"/>
      <c r="DS20" s="3"/>
      <c r="DT20" s="37" t="str">
        <f t="shared" si="46"/>
        <v/>
      </c>
      <c r="DU20" s="3"/>
      <c r="DV20" s="3"/>
      <c r="DW20" s="80"/>
      <c r="DX20" s="4"/>
      <c r="DY20" s="6"/>
      <c r="DZ20" s="6"/>
      <c r="EA20" s="33" t="str">
        <f t="shared" si="31"/>
        <v/>
      </c>
      <c r="EB20" s="42"/>
      <c r="EC20" s="3"/>
      <c r="ED20" s="37" t="str">
        <f t="shared" si="32"/>
        <v/>
      </c>
      <c r="EE20" s="3"/>
      <c r="EF20" s="3"/>
      <c r="EG20" s="80" t="s">
        <v>942</v>
      </c>
      <c r="EH20" s="4"/>
      <c r="EI20" s="6"/>
      <c r="EJ20" s="6"/>
      <c r="EK20" s="33" t="str">
        <f t="shared" si="33"/>
        <v/>
      </c>
      <c r="EL20" s="42"/>
      <c r="EM20" s="3"/>
      <c r="EN20" s="37" t="str">
        <f t="shared" si="34"/>
        <v/>
      </c>
      <c r="EO20" s="3"/>
      <c r="EP20" s="3"/>
      <c r="EQ20" s="80"/>
      <c r="ER20" s="4"/>
      <c r="ES20" s="6"/>
      <c r="ET20" s="6"/>
      <c r="EU20" s="33" t="str">
        <f t="shared" si="35"/>
        <v/>
      </c>
      <c r="EV20" s="42"/>
      <c r="EW20" s="3"/>
      <c r="EX20" s="37" t="str">
        <f t="shared" si="36"/>
        <v/>
      </c>
      <c r="EY20" s="3"/>
      <c r="EZ20" s="3"/>
      <c r="FA20" s="4"/>
      <c r="FB20" s="4"/>
      <c r="FC20" s="6"/>
      <c r="FD20" s="6"/>
      <c r="FE20" s="33" t="str">
        <f t="shared" si="37"/>
        <v/>
      </c>
      <c r="FF20" s="42"/>
      <c r="FG20" s="3"/>
      <c r="FH20" s="37" t="str">
        <f t="shared" si="38"/>
        <v/>
      </c>
      <c r="FI20" s="3"/>
      <c r="FJ20" s="3"/>
      <c r="FM20" s="54">
        <f t="shared" si="44"/>
        <v>11.282</v>
      </c>
      <c r="FN20" s="54">
        <f t="shared" si="44"/>
        <v>41</v>
      </c>
      <c r="FO20" s="471">
        <f t="shared" si="39"/>
        <v>142.9</v>
      </c>
      <c r="FP20" s="471">
        <f t="shared" si="39"/>
        <v>141</v>
      </c>
    </row>
    <row r="21" spans="2:172" ht="196.5" customHeight="1">
      <c r="B21" s="3" t="s">
        <v>991</v>
      </c>
      <c r="C21" s="3" t="s">
        <v>287</v>
      </c>
      <c r="D21" s="3" t="s">
        <v>313</v>
      </c>
      <c r="E21" s="4">
        <f>7-1</f>
        <v>6</v>
      </c>
      <c r="F21" s="123" t="str">
        <f t="shared" si="1"/>
        <v>×
[P・Q]
×・×</v>
      </c>
      <c r="G21" s="123" t="str">
        <f t="shared" si="2"/>
        <v>○
[P・Q]
○・--</v>
      </c>
      <c r="H21" s="123" t="str">
        <f t="shared" si="3"/>
        <v>×
[P・Q]
×・--</v>
      </c>
      <c r="I21" s="123" t="str">
        <f t="shared" si="4"/>
        <v>○
[P・Q]
○・○</v>
      </c>
      <c r="J21" s="123" t="str">
        <f t="shared" si="5"/>
        <v>×
[P・Q]
×・○</v>
      </c>
      <c r="K21" s="123" t="str">
        <f t="shared" si="45"/>
        <v>×
[P・Q]
×・○</v>
      </c>
      <c r="L21" s="123"/>
      <c r="M21" s="123" t="str">
        <f>IF($E21&lt;M$9,"",IF(AND(DQ21&gt;0.6,DT21&lt;=8,DU21=DV21),"○","×")&amp;CHAR(10)&amp;"[P・Q]"&amp;CHAR(10)&amp;IF(DQ21="","--",IF(DQ21&gt;0.6,"○","×"))&amp;IF(DT21="","・--",IF(DT21&lt;=8,"・○","・×")))</f>
        <v/>
      </c>
      <c r="N21" s="123" t="str">
        <f t="shared" si="47"/>
        <v/>
      </c>
      <c r="O21" s="123" t="str">
        <f>IF($E21&lt;O$9,"",IF(AND(EK21&gt;0.6,EN21&lt;=8,EO21=EP21),"○","×")&amp;CHAR(10)&amp;"[P・Q]"&amp;CHAR(10)&amp;IF(EK21="","--",IF(EK21&gt;0.6,"○","×"))&amp;IF(EN21="","・--",IF(EN21&lt;=8,"・○","・×")))</f>
        <v/>
      </c>
      <c r="P21" s="123" t="str">
        <f t="shared" si="7"/>
        <v/>
      </c>
      <c r="Q21" s="123" t="str">
        <f t="shared" si="8"/>
        <v/>
      </c>
      <c r="R21" s="76">
        <f t="shared" si="9"/>
        <v>0.83333333333333337</v>
      </c>
      <c r="S21" s="28">
        <v>5</v>
      </c>
      <c r="T21" s="4">
        <v>5</v>
      </c>
      <c r="U21" s="4">
        <v>3</v>
      </c>
      <c r="V21" s="4">
        <v>5</v>
      </c>
      <c r="W21" s="77">
        <f t="shared" si="10"/>
        <v>12.5</v>
      </c>
      <c r="X21" s="77">
        <f t="shared" si="11"/>
        <v>18.75</v>
      </c>
      <c r="Y21" s="77" cm="1">
        <f t="array" ref="Y21">_xlfn.IFS(R21&gt;=0.8,5,R21&gt;=0.6,3,R21&gt;=0.2,1,R21&lt;0.2,0)</f>
        <v>5</v>
      </c>
      <c r="Z21" s="55">
        <f t="shared" si="40"/>
        <v>54.25</v>
      </c>
      <c r="AA21" s="5" t="s">
        <v>992</v>
      </c>
      <c r="AB21" s="5" t="s">
        <v>993</v>
      </c>
      <c r="AC21" s="191" t="s">
        <v>251</v>
      </c>
      <c r="AD21" s="5" t="s">
        <v>994</v>
      </c>
      <c r="AE21" s="5"/>
      <c r="AF21" s="5" t="s">
        <v>995</v>
      </c>
      <c r="AG21" s="310">
        <f>TaskEndDay!H71</f>
        <v>0.83333333333333337</v>
      </c>
      <c r="AH21" s="201">
        <f>IFERROR(AVERAGE(AY21,BI21,BS21,CC21,CM21,CW21,DG21,DQ21,EA21,EK21)," ")</f>
        <v>0.54780181005068551</v>
      </c>
      <c r="AI21" s="202">
        <f>IFERROR(AVERAGE(BB21,BL21,BV21,CF21,CP21,CZ21,DJ21,DT21,ED21,EN21)," ")</f>
        <v>16.522213960405242</v>
      </c>
      <c r="AJ21" s="191" t="str">
        <f t="shared" si="12"/>
        <v>LOW</v>
      </c>
      <c r="AK21" s="191" t="str">
        <f t="shared" si="13"/>
        <v>LOW</v>
      </c>
      <c r="AL21" s="5" t="s">
        <v>996</v>
      </c>
      <c r="AM21" s="29" t="s">
        <v>997</v>
      </c>
      <c r="AN21" s="128" t="str">
        <f>IF(AND(Z21&gt;Summary!$C$5, Z21&lt;=Summary!$D$5),Summary!$B$5,IF(AND(Z21&gt;Summary!$C$6, Z21&lt;=Summary!$D$6),Summary!$B$6,IF(AND(Z21&gt;Summary!$C$7, Z21&lt;=Summary!$D$7),Summary!$B$7,Summary!$B$8)))</f>
        <v>○</v>
      </c>
      <c r="AO21" s="14" t="s">
        <v>174</v>
      </c>
      <c r="AP21" s="14"/>
      <c r="AQ21" s="14"/>
      <c r="AR21" s="151"/>
      <c r="AS21" s="151" t="s">
        <v>168</v>
      </c>
      <c r="AT21" s="99" t="s">
        <v>724</v>
      </c>
      <c r="AU21" s="80" t="s">
        <v>998</v>
      </c>
      <c r="AV21" s="4" t="s">
        <v>168</v>
      </c>
      <c r="AW21" s="6">
        <v>10.9</v>
      </c>
      <c r="AX21" s="6">
        <v>65</v>
      </c>
      <c r="AY21" s="33">
        <f t="shared" si="17"/>
        <v>0.1676923076923077</v>
      </c>
      <c r="AZ21" s="42">
        <v>0.14499999999999999</v>
      </c>
      <c r="BA21" s="3">
        <v>8</v>
      </c>
      <c r="BB21" s="37">
        <f t="shared" si="18"/>
        <v>55.172413793103452</v>
      </c>
      <c r="BC21" s="3">
        <v>8</v>
      </c>
      <c r="BD21" s="3">
        <v>8</v>
      </c>
      <c r="BE21" s="80" t="s">
        <v>999</v>
      </c>
      <c r="BF21" s="4"/>
      <c r="BG21" s="6">
        <v>42.6</v>
      </c>
      <c r="BH21" s="6">
        <v>52</v>
      </c>
      <c r="BI21" s="33">
        <f t="shared" si="19"/>
        <v>0.81923076923076921</v>
      </c>
      <c r="BJ21" s="42">
        <v>3.722</v>
      </c>
      <c r="BK21" s="3" t="s">
        <v>876</v>
      </c>
      <c r="BL21" s="37"/>
      <c r="BM21" s="3" t="s">
        <v>876</v>
      </c>
      <c r="BN21" s="3" t="s">
        <v>876</v>
      </c>
      <c r="BO21" s="80" t="s">
        <v>1000</v>
      </c>
      <c r="BP21" s="4" t="s">
        <v>168</v>
      </c>
      <c r="BQ21" s="6">
        <v>23.3</v>
      </c>
      <c r="BR21" s="6">
        <v>44</v>
      </c>
      <c r="BS21" s="33">
        <f t="shared" si="21"/>
        <v>0.52954545454545454</v>
      </c>
      <c r="BT21" s="42">
        <v>0.157</v>
      </c>
      <c r="BU21" s="3">
        <v>3</v>
      </c>
      <c r="BV21" s="37"/>
      <c r="BW21" s="3">
        <v>3</v>
      </c>
      <c r="BX21" s="3">
        <v>3</v>
      </c>
      <c r="BY21" s="80" t="s">
        <v>1001</v>
      </c>
      <c r="BZ21" s="4" t="s">
        <v>168</v>
      </c>
      <c r="CA21" s="6">
        <v>26.2</v>
      </c>
      <c r="CB21" s="6">
        <v>40</v>
      </c>
      <c r="CC21" s="33">
        <f t="shared" si="22"/>
        <v>0.65500000000000003</v>
      </c>
      <c r="CD21" s="42">
        <v>0.7</v>
      </c>
      <c r="CE21" s="3">
        <v>5</v>
      </c>
      <c r="CF21" s="37">
        <f t="shared" si="23"/>
        <v>7.1428571428571432</v>
      </c>
      <c r="CG21" s="3">
        <v>5</v>
      </c>
      <c r="CH21" s="3">
        <v>5</v>
      </c>
      <c r="CI21" s="80" t="s">
        <v>1002</v>
      </c>
      <c r="CJ21" s="4" t="s">
        <v>168</v>
      </c>
      <c r="CK21" s="6">
        <v>23.3</v>
      </c>
      <c r="CL21" s="6">
        <v>43.5</v>
      </c>
      <c r="CM21" s="33">
        <f t="shared" si="24"/>
        <v>0.53563218390804601</v>
      </c>
      <c r="CN21" s="42">
        <v>0.53</v>
      </c>
      <c r="CO21" s="3">
        <v>2</v>
      </c>
      <c r="CP21" s="37">
        <f t="shared" si="25"/>
        <v>3.773584905660377</v>
      </c>
      <c r="CQ21" s="3">
        <v>2</v>
      </c>
      <c r="CR21" s="3">
        <v>2</v>
      </c>
      <c r="CS21" s="80" t="s">
        <v>1003</v>
      </c>
      <c r="CT21" s="4" t="s">
        <v>168</v>
      </c>
      <c r="CU21" s="6">
        <v>20</v>
      </c>
      <c r="CV21" s="6">
        <v>34.5</v>
      </c>
      <c r="CW21" s="33">
        <f t="shared" si="26"/>
        <v>0.57971014492753625</v>
      </c>
      <c r="CX21" s="42">
        <v>1.254</v>
      </c>
      <c r="CY21" s="3">
        <f>0</f>
        <v>0</v>
      </c>
      <c r="CZ21" s="37">
        <f t="shared" si="27"/>
        <v>0</v>
      </c>
      <c r="DA21" s="3">
        <f>0</f>
        <v>0</v>
      </c>
      <c r="DB21" s="3">
        <f>0</f>
        <v>0</v>
      </c>
      <c r="DC21" s="80"/>
      <c r="DD21" s="4"/>
      <c r="DE21" s="6"/>
      <c r="DF21" s="6"/>
      <c r="DG21" s="33" t="str">
        <f t="shared" si="28"/>
        <v/>
      </c>
      <c r="DH21" s="42"/>
      <c r="DI21" s="3"/>
      <c r="DJ21" s="37" t="str">
        <f t="shared" si="29"/>
        <v/>
      </c>
      <c r="DK21" s="3"/>
      <c r="DL21" s="3"/>
      <c r="DM21" s="80" t="s">
        <v>942</v>
      </c>
      <c r="DN21" s="4"/>
      <c r="DO21" s="6"/>
      <c r="DP21" s="6"/>
      <c r="DQ21" s="33" t="str">
        <f t="shared" si="30"/>
        <v/>
      </c>
      <c r="DR21" s="42"/>
      <c r="DS21" s="3"/>
      <c r="DT21" s="37" t="str">
        <f t="shared" si="46"/>
        <v/>
      </c>
      <c r="DU21" s="3"/>
      <c r="DV21" s="3"/>
      <c r="DW21" s="80"/>
      <c r="DX21" s="4"/>
      <c r="DY21" s="6"/>
      <c r="DZ21" s="6"/>
      <c r="EA21" s="33" t="str">
        <f t="shared" si="31"/>
        <v/>
      </c>
      <c r="EB21" s="42"/>
      <c r="EC21" s="3"/>
      <c r="ED21" s="37" t="str">
        <f t="shared" si="32"/>
        <v/>
      </c>
      <c r="EE21" s="3"/>
      <c r="EF21" s="3"/>
      <c r="EG21" s="80" t="s">
        <v>942</v>
      </c>
      <c r="EH21" s="4"/>
      <c r="EI21" s="6"/>
      <c r="EJ21" s="6"/>
      <c r="EK21" s="33" t="str">
        <f t="shared" si="33"/>
        <v/>
      </c>
      <c r="EL21" s="42"/>
      <c r="EM21" s="3"/>
      <c r="EN21" s="37" t="str">
        <f t="shared" si="34"/>
        <v/>
      </c>
      <c r="EO21" s="3"/>
      <c r="EP21" s="3"/>
      <c r="EQ21" s="80"/>
      <c r="ER21" s="4"/>
      <c r="ES21" s="6"/>
      <c r="ET21" s="6"/>
      <c r="EU21" s="33" t="str">
        <f t="shared" si="35"/>
        <v/>
      </c>
      <c r="EV21" s="42"/>
      <c r="EW21" s="3"/>
      <c r="EX21" s="37" t="str">
        <f t="shared" si="36"/>
        <v/>
      </c>
      <c r="EY21" s="3"/>
      <c r="EZ21" s="3"/>
      <c r="FA21" s="4"/>
      <c r="FB21" s="4"/>
      <c r="FC21" s="6"/>
      <c r="FD21" s="6"/>
      <c r="FE21" s="33" t="str">
        <f t="shared" si="37"/>
        <v/>
      </c>
      <c r="FF21" s="42"/>
      <c r="FG21" s="3"/>
      <c r="FH21" s="37" t="str">
        <f t="shared" si="38"/>
        <v/>
      </c>
      <c r="FI21" s="3"/>
      <c r="FJ21" s="3"/>
      <c r="FM21" s="54">
        <f t="shared" si="44"/>
        <v>6.5079999999999991</v>
      </c>
      <c r="FN21" s="54">
        <f t="shared" si="44"/>
        <v>18</v>
      </c>
      <c r="FO21" s="471">
        <f t="shared" si="39"/>
        <v>146.30000000000001</v>
      </c>
      <c r="FP21" s="471">
        <f t="shared" si="39"/>
        <v>279</v>
      </c>
    </row>
    <row r="22" spans="2:172" ht="217.15" customHeight="1">
      <c r="B22" s="27" t="s">
        <v>1004</v>
      </c>
      <c r="C22" s="27" t="s">
        <v>384</v>
      </c>
      <c r="D22" s="3" t="s">
        <v>224</v>
      </c>
      <c r="E22" s="4">
        <v>8</v>
      </c>
      <c r="F22" s="123" t="str">
        <f t="shared" si="1"/>
        <v>×
[P・Q]
○・×</v>
      </c>
      <c r="G22" s="123" t="str">
        <f t="shared" si="2"/>
        <v>×
[P・Q]
--・--</v>
      </c>
      <c r="H22" s="123" t="str">
        <f t="shared" si="3"/>
        <v>×
[P・Q]
○・×</v>
      </c>
      <c r="I22" s="123" t="str">
        <f t="shared" si="4"/>
        <v>×
[P・Q]
○・×</v>
      </c>
      <c r="J22" s="123" t="str">
        <f t="shared" si="5"/>
        <v>×
[P・Q]
○・×</v>
      </c>
      <c r="K22" s="123" t="str">
        <f t="shared" si="45"/>
        <v>×
[P・Q]
○・○</v>
      </c>
      <c r="L22" s="123" t="str">
        <f>IF($E22&lt;L$9,"",IF(AND(DG22&gt;0.6,DJ22&lt;=8,DK22=DL22),"○","×")&amp;CHAR(10)&amp;"[P・Q]"&amp;CHAR(10)&amp;IF(DG22="","--",IF(DG22&gt;0.6,"○","×"))&amp;IF(DJ22="","・--",IF(DJ22&lt;=8,"・○","・×")))</f>
        <v>×
[P・Q]
○・×</v>
      </c>
      <c r="M22" s="123" t="str">
        <f>IF($E22&lt;M$9,"",IF(AND(DQ22&gt;0.6,DT22&lt;=8,DU22=DV22),"○","×")&amp;CHAR(10)&amp;"[P・Q]"&amp;CHAR(10)&amp;IF(DQ22="","--",IF(DQ22&gt;0.6,"○","×"))&amp;IF(DT22="","・--",IF(DT22&lt;=8,"・○","・×")))</f>
        <v>×
[P・Q]
--・--</v>
      </c>
      <c r="N22" s="123" t="str">
        <f t="shared" si="47"/>
        <v/>
      </c>
      <c r="O22" s="123" t="str">
        <f>IF($E22&lt;O$9,"",IF(AND(EK22&gt;0.6,EN22&lt;=8,EO22=EP22),"○","×")&amp;CHAR(10)&amp;"[P・Q]"&amp;CHAR(10)&amp;IF(EK22="","--",IF(EK22&gt;0.6,"○","×"))&amp;IF(EN22="","・--",IF(EN22&lt;=8,"・○","・×")))</f>
        <v/>
      </c>
      <c r="P22" s="123" t="str">
        <f t="shared" si="7"/>
        <v/>
      </c>
      <c r="Q22" s="123" t="str">
        <f t="shared" si="8"/>
        <v/>
      </c>
      <c r="R22" s="76">
        <f t="shared" si="9"/>
        <v>0.75</v>
      </c>
      <c r="S22" s="28">
        <v>5</v>
      </c>
      <c r="T22" s="4">
        <v>5</v>
      </c>
      <c r="U22" s="4">
        <v>5</v>
      </c>
      <c r="V22" s="4">
        <v>5</v>
      </c>
      <c r="W22" s="77">
        <f t="shared" si="10"/>
        <v>28.125</v>
      </c>
      <c r="X22" s="77">
        <f t="shared" si="11"/>
        <v>0</v>
      </c>
      <c r="Y22" s="77" cm="1">
        <f t="array" ref="Y22">_xlfn.IFS(R22&gt;=0.8,5,R22&gt;=0.6,3,R22&gt;=0.2,1,R22&lt;0.2,0)</f>
        <v>3</v>
      </c>
      <c r="Z22" s="55">
        <f t="shared" si="40"/>
        <v>51.125</v>
      </c>
      <c r="AA22" s="5" t="s">
        <v>1005</v>
      </c>
      <c r="AB22" s="5" t="s">
        <v>1006</v>
      </c>
      <c r="AC22" s="191" t="s">
        <v>226</v>
      </c>
      <c r="AD22" s="5" t="s">
        <v>1007</v>
      </c>
      <c r="AE22" s="5"/>
      <c r="AF22" s="5" t="s">
        <v>1008</v>
      </c>
      <c r="AG22" s="310">
        <f>TaskEndDay!H72</f>
        <v>1</v>
      </c>
      <c r="AH22" s="201">
        <f>IFERROR(AVERAGE(AY22,BI22,BS22,CC22,CM22,CW22,DG22,DQ22,EA22,EK22)," ")</f>
        <v>0.86386029411764698</v>
      </c>
      <c r="AI22" s="202">
        <f>IFERROR(AVERAGE(BB22,BL22,BV22,CF22,CP22,CZ22,DJ22,DT22,ED22,EN22)," ")</f>
        <v>58.895251541634451</v>
      </c>
      <c r="AJ22" s="80" t="str">
        <f t="shared" si="12"/>
        <v>HIGH</v>
      </c>
      <c r="AK22" s="306" t="str">
        <f t="shared" si="13"/>
        <v>LOW</v>
      </c>
      <c r="AL22" s="5" t="s">
        <v>1009</v>
      </c>
      <c r="AM22" s="5" t="s">
        <v>1010</v>
      </c>
      <c r="AN22" s="128" t="str">
        <f>IF(AND(Z22&gt;Summary!$C$5, Z22&lt;=Summary!$D$5),Summary!$B$5,IF(AND(Z22&gt;Summary!$C$6, Z22&lt;=Summary!$D$6),Summary!$B$6,IF(AND(Z22&gt;Summary!$C$7, Z22&lt;=Summary!$D$7),Summary!$B$7,Summary!$B$8)))</f>
        <v>○</v>
      </c>
      <c r="AO22" s="14" t="s">
        <v>168</v>
      </c>
      <c r="AP22" s="14"/>
      <c r="AQ22" s="14"/>
      <c r="AR22" s="151"/>
      <c r="AS22" s="151" t="s">
        <v>168</v>
      </c>
      <c r="AT22" s="130" t="s">
        <v>892</v>
      </c>
      <c r="AU22" s="80" t="s">
        <v>1011</v>
      </c>
      <c r="AV22" s="4" t="s">
        <v>168</v>
      </c>
      <c r="AW22" s="6">
        <v>11.1</v>
      </c>
      <c r="AX22" s="6">
        <v>17</v>
      </c>
      <c r="AY22" s="33">
        <f t="shared" si="17"/>
        <v>0.65294117647058825</v>
      </c>
      <c r="AZ22" s="42">
        <v>0.158</v>
      </c>
      <c r="BA22" s="3">
        <v>2</v>
      </c>
      <c r="BB22" s="37">
        <f t="shared" si="18"/>
        <v>12.658227848101266</v>
      </c>
      <c r="BC22" s="3">
        <v>2</v>
      </c>
      <c r="BD22" s="3">
        <v>2</v>
      </c>
      <c r="BE22" s="80" t="s">
        <v>1012</v>
      </c>
      <c r="BF22" s="4"/>
      <c r="BG22" s="6">
        <v>24</v>
      </c>
      <c r="BH22" s="6" t="s">
        <v>876</v>
      </c>
      <c r="BI22" s="33" t="str">
        <f t="shared" si="19"/>
        <v/>
      </c>
      <c r="BJ22" s="42" t="s">
        <v>876</v>
      </c>
      <c r="BK22" s="3" t="s">
        <v>876</v>
      </c>
      <c r="BL22" s="37" t="str">
        <f t="shared" si="20"/>
        <v/>
      </c>
      <c r="BM22" s="3" t="s">
        <v>876</v>
      </c>
      <c r="BN22" s="3" t="s">
        <v>876</v>
      </c>
      <c r="BO22" s="80" t="s">
        <v>1013</v>
      </c>
      <c r="BP22" s="4" t="s">
        <v>168</v>
      </c>
      <c r="BQ22" s="6">
        <v>10.9</v>
      </c>
      <c r="BR22" s="6">
        <v>15</v>
      </c>
      <c r="BS22" s="33">
        <f t="shared" si="21"/>
        <v>0.72666666666666668</v>
      </c>
      <c r="BT22" s="42">
        <v>5.6000000000000001E-2</v>
      </c>
      <c r="BU22" s="3">
        <v>4</v>
      </c>
      <c r="BV22" s="37">
        <f t="shared" si="43"/>
        <v>71.428571428571431</v>
      </c>
      <c r="BW22" s="3">
        <v>4</v>
      </c>
      <c r="BX22" s="3">
        <v>4</v>
      </c>
      <c r="BY22" s="80" t="s">
        <v>1014</v>
      </c>
      <c r="BZ22" s="4" t="s">
        <v>168</v>
      </c>
      <c r="CA22" s="6">
        <v>16.100000000000001</v>
      </c>
      <c r="CB22" s="6">
        <v>16</v>
      </c>
      <c r="CC22" s="33">
        <f t="shared" si="22"/>
        <v>1.0062500000000001</v>
      </c>
      <c r="CD22" s="42">
        <v>5.6000000000000001E-2</v>
      </c>
      <c r="CE22" s="3">
        <v>6</v>
      </c>
      <c r="CF22" s="37">
        <f t="shared" si="23"/>
        <v>107.14285714285714</v>
      </c>
      <c r="CG22" s="3">
        <v>6</v>
      </c>
      <c r="CH22" s="3">
        <v>6</v>
      </c>
      <c r="CI22" s="80" t="s">
        <v>1015</v>
      </c>
      <c r="CJ22" s="4" t="s">
        <v>168</v>
      </c>
      <c r="CK22" s="6">
        <v>23.4</v>
      </c>
      <c r="CL22" s="6">
        <v>17</v>
      </c>
      <c r="CM22" s="33">
        <f t="shared" si="24"/>
        <v>1.3764705882352941</v>
      </c>
      <c r="CN22" s="42">
        <v>3.3500000000000002E-2</v>
      </c>
      <c r="CO22" s="3">
        <v>4</v>
      </c>
      <c r="CP22" s="37">
        <f t="shared" si="25"/>
        <v>119.40298507462686</v>
      </c>
      <c r="CQ22" s="3">
        <v>4</v>
      </c>
      <c r="CR22" s="3">
        <v>4</v>
      </c>
      <c r="CS22" s="80" t="s">
        <v>1016</v>
      </c>
      <c r="CT22" s="4" t="s">
        <v>168</v>
      </c>
      <c r="CU22" s="6">
        <v>11</v>
      </c>
      <c r="CV22" s="6">
        <v>16</v>
      </c>
      <c r="CW22" s="33">
        <f t="shared" si="26"/>
        <v>0.6875</v>
      </c>
      <c r="CX22" s="42">
        <v>0.123</v>
      </c>
      <c r="CY22" s="3">
        <v>3</v>
      </c>
      <c r="CZ22" s="37">
        <f t="shared" si="27"/>
        <v>24.390243902439025</v>
      </c>
      <c r="DA22" s="3">
        <v>3</v>
      </c>
      <c r="DB22" s="3">
        <v>3</v>
      </c>
      <c r="DC22" s="80" t="s">
        <v>1017</v>
      </c>
      <c r="DD22" s="4" t="s">
        <v>168</v>
      </c>
      <c r="DE22" s="6">
        <v>11</v>
      </c>
      <c r="DF22" s="6">
        <v>15</v>
      </c>
      <c r="DG22" s="33">
        <f t="shared" si="28"/>
        <v>0.73333333333333328</v>
      </c>
      <c r="DH22" s="42">
        <v>0.109</v>
      </c>
      <c r="DI22" s="3">
        <v>2</v>
      </c>
      <c r="DJ22" s="37">
        <f t="shared" si="29"/>
        <v>18.348623853211009</v>
      </c>
      <c r="DK22" s="3">
        <v>2</v>
      </c>
      <c r="DL22" s="3">
        <v>2</v>
      </c>
      <c r="DM22" s="80" t="s">
        <v>1018</v>
      </c>
      <c r="DN22" s="4"/>
      <c r="DO22" s="6">
        <v>50</v>
      </c>
      <c r="DP22" s="6"/>
      <c r="DQ22" s="33" t="str">
        <f t="shared" si="30"/>
        <v/>
      </c>
      <c r="DR22" s="42">
        <v>4.7590000000000003</v>
      </c>
      <c r="DS22" s="3"/>
      <c r="DT22" s="37" t="str">
        <f t="shared" si="46"/>
        <v/>
      </c>
      <c r="DU22" s="3"/>
      <c r="DV22" s="3"/>
      <c r="DW22" s="80"/>
      <c r="DX22" s="4"/>
      <c r="DY22" s="6"/>
      <c r="DZ22" s="6"/>
      <c r="EA22" s="33" t="str">
        <f t="shared" si="31"/>
        <v/>
      </c>
      <c r="EB22" s="42"/>
      <c r="EC22" s="3"/>
      <c r="ED22" s="37" t="str">
        <f t="shared" si="32"/>
        <v/>
      </c>
      <c r="EE22" s="3"/>
      <c r="EF22" s="3"/>
      <c r="EG22" s="80"/>
      <c r="EH22" s="4"/>
      <c r="EI22" s="6"/>
      <c r="EJ22" s="6"/>
      <c r="EK22" s="33" t="str">
        <f t="shared" si="33"/>
        <v/>
      </c>
      <c r="EL22" s="42"/>
      <c r="EM22" s="3"/>
      <c r="EN22" s="37" t="str">
        <f t="shared" si="34"/>
        <v/>
      </c>
      <c r="EO22" s="3"/>
      <c r="EP22" s="3"/>
      <c r="EQ22" s="80"/>
      <c r="ER22" s="4"/>
      <c r="ES22" s="6"/>
      <c r="ET22" s="6"/>
      <c r="EU22" s="33" t="str">
        <f t="shared" si="35"/>
        <v/>
      </c>
      <c r="EV22" s="42"/>
      <c r="EW22" s="3"/>
      <c r="EX22" s="37" t="str">
        <f t="shared" si="36"/>
        <v/>
      </c>
      <c r="EY22" s="3"/>
      <c r="EZ22" s="3"/>
      <c r="FA22" s="4"/>
      <c r="FB22" s="4"/>
      <c r="FC22" s="6"/>
      <c r="FD22" s="6"/>
      <c r="FE22" s="33" t="str">
        <f t="shared" si="37"/>
        <v/>
      </c>
      <c r="FF22" s="42"/>
      <c r="FG22" s="3"/>
      <c r="FH22" s="37" t="str">
        <f t="shared" si="38"/>
        <v/>
      </c>
      <c r="FI22" s="3"/>
      <c r="FJ22" s="3"/>
      <c r="FM22" s="54">
        <f t="shared" si="44"/>
        <v>5.2945000000000011</v>
      </c>
      <c r="FN22" s="54">
        <f t="shared" si="44"/>
        <v>21</v>
      </c>
      <c r="FO22" s="471">
        <f t="shared" si="39"/>
        <v>157.5</v>
      </c>
      <c r="FP22" s="471">
        <f t="shared" si="39"/>
        <v>96</v>
      </c>
    </row>
    <row r="23" spans="2:172" ht="77.099999999999994">
      <c r="B23" s="3" t="s">
        <v>1019</v>
      </c>
      <c r="C23" s="3" t="s">
        <v>223</v>
      </c>
      <c r="D23" s="3" t="s">
        <v>224</v>
      </c>
      <c r="E23" s="4">
        <v>10</v>
      </c>
      <c r="F23" s="123" t="str">
        <f t="shared" si="1"/>
        <v>×
[P・Q]
○・×</v>
      </c>
      <c r="G23" s="123" t="str">
        <f t="shared" si="2"/>
        <v>×
[P・Q]
×・--</v>
      </c>
      <c r="H23" s="123" t="str">
        <f t="shared" si="3"/>
        <v>×
[P・Q]
○・×</v>
      </c>
      <c r="I23" s="123" t="str">
        <f t="shared" si="4"/>
        <v>○
[P・Q]
○・○</v>
      </c>
      <c r="J23" s="123" t="str">
        <f t="shared" si="5"/>
        <v>×
[P・Q]
○・×</v>
      </c>
      <c r="K23" s="123" t="str">
        <f t="shared" si="45"/>
        <v>×
[P・Q]
○・--</v>
      </c>
      <c r="L23" s="123" t="str">
        <f>IF($E23&lt;L$9,"",IF(AND(DG23&gt;0.6,DJ23&lt;=8,DK23=DL23),"○","×")&amp;CHAR(10)&amp;"[P・Q]"&amp;CHAR(10)&amp;IF(DG23="","--",IF(DG23&gt;0.6,"○","×"))&amp;IF(DJ23="","・--",IF(DJ23&lt;=8,"・○","・×")))</f>
        <v>○
[P・Q]
○・○</v>
      </c>
      <c r="M23" s="123"/>
      <c r="N23" s="123" t="str">
        <f t="shared" si="47"/>
        <v>×
[P・Q]
○・×</v>
      </c>
      <c r="O23" s="123" t="str">
        <f>IF($E23&lt;O$9,"",IF(AND(EK23&gt;0.6,EN23&lt;=8,EO23=EP23),"○","×")&amp;CHAR(10)&amp;"[P・Q]"&amp;CHAR(10)&amp;IF(EK23="","--",IF(EK23&gt;0.6,"○","×"))&amp;IF(EN23="","・--",IF(EN23&lt;=8,"・○","・×")))</f>
        <v>×
[P・Q]
×・×</v>
      </c>
      <c r="P23" s="123" t="str">
        <f t="shared" si="7"/>
        <v/>
      </c>
      <c r="Q23" s="123" t="str">
        <f t="shared" si="8"/>
        <v/>
      </c>
      <c r="R23" s="76">
        <f t="shared" si="9"/>
        <v>0.9</v>
      </c>
      <c r="S23" s="28">
        <v>5</v>
      </c>
      <c r="T23" s="4">
        <v>5</v>
      </c>
      <c r="U23" s="4">
        <v>5</v>
      </c>
      <c r="V23" s="4">
        <v>3</v>
      </c>
      <c r="W23" s="77">
        <f t="shared" si="10"/>
        <v>26.25</v>
      </c>
      <c r="X23" s="77">
        <f t="shared" si="11"/>
        <v>7.5</v>
      </c>
      <c r="Y23" s="77" cm="1">
        <f t="array" ref="Y23">_xlfn.IFS(R23&gt;=0.8,5,R23&gt;=0.6,3,R23&gt;=0.2,1,R23&lt;0.2,0)</f>
        <v>5</v>
      </c>
      <c r="Z23" s="55">
        <f t="shared" si="40"/>
        <v>56.75</v>
      </c>
      <c r="AA23" s="5" t="s">
        <v>1020</v>
      </c>
      <c r="AB23" s="5" t="s">
        <v>1021</v>
      </c>
      <c r="AC23" s="80" t="s">
        <v>251</v>
      </c>
      <c r="AD23" s="130" t="s">
        <v>1022</v>
      </c>
      <c r="AE23" s="14" t="s">
        <v>174</v>
      </c>
      <c r="AF23" t="s">
        <v>1023</v>
      </c>
      <c r="AH23" s="201">
        <f>IFERROR(AVERAGE(AY23,BI23,BS23,CC23,CM23,CW23,DG23,DQ23,EA23,EK23,EU23)," ")</f>
        <v>0.70923959985908236</v>
      </c>
      <c r="AI23" s="202">
        <f>IFERROR(AVERAGE(BB23,BL23,BV23,CF23,CP23,CZ23,DJ23,DT23,ED23,EN23,EX23)," ")</f>
        <v>22.003634585239702</v>
      </c>
      <c r="AJ23" s="191" t="str">
        <f t="shared" si="12"/>
        <v>HIGH</v>
      </c>
      <c r="AK23" s="191" t="str">
        <f t="shared" si="13"/>
        <v>LOW</v>
      </c>
      <c r="AL23" s="221"/>
      <c r="AM23" s="221"/>
      <c r="AN23" s="128" t="str">
        <f>IF(AND(Z23&gt;Summary!$C$5, Z23&lt;=Summary!$D$5),Summary!$B$5,IF(AND(Z23&gt;Summary!$C$6, Z23&lt;=Summary!$D$6),Summary!$B$6,IF(AND(Z23&gt;Summary!$C$7, Z23&lt;=Summary!$D$7),Summary!$B$7,Summary!$B$8)))</f>
        <v>○</v>
      </c>
      <c r="AO23" s="14" t="s">
        <v>168</v>
      </c>
      <c r="AP23" s="14"/>
      <c r="AQ23" s="14" t="s">
        <v>168</v>
      </c>
      <c r="AR23" s="14"/>
      <c r="AS23" s="14"/>
      <c r="AT23" s="5" t="s">
        <v>892</v>
      </c>
      <c r="AU23" s="80" t="s">
        <v>1024</v>
      </c>
      <c r="AV23" s="4" t="s">
        <v>168</v>
      </c>
      <c r="AW23" s="6">
        <v>10.9</v>
      </c>
      <c r="AX23" s="6">
        <v>16</v>
      </c>
      <c r="AY23" s="33">
        <f t="shared" si="17"/>
        <v>0.68125000000000002</v>
      </c>
      <c r="AZ23" s="42">
        <v>0.184</v>
      </c>
      <c r="BA23" s="3">
        <v>5</v>
      </c>
      <c r="BB23" s="37">
        <f t="shared" si="18"/>
        <v>27.173913043478262</v>
      </c>
      <c r="BC23" s="3">
        <v>5</v>
      </c>
      <c r="BD23" s="3">
        <v>5</v>
      </c>
      <c r="BE23" s="80" t="s">
        <v>1025</v>
      </c>
      <c r="BF23" s="4"/>
      <c r="BG23" s="6">
        <v>28.5</v>
      </c>
      <c r="BH23" s="6">
        <v>49</v>
      </c>
      <c r="BI23" s="33">
        <f t="shared" si="19"/>
        <v>0.58163265306122447</v>
      </c>
      <c r="BJ23" s="42">
        <v>1.736</v>
      </c>
      <c r="BK23" s="3" t="s">
        <v>876</v>
      </c>
      <c r="BL23" s="37" t="str">
        <f t="shared" si="20"/>
        <v/>
      </c>
      <c r="BM23" s="3" t="s">
        <v>876</v>
      </c>
      <c r="BN23" s="3" t="s">
        <v>876</v>
      </c>
      <c r="BO23" s="80" t="s">
        <v>1026</v>
      </c>
      <c r="BP23" s="4" t="s">
        <v>168</v>
      </c>
      <c r="BQ23" s="6">
        <v>10.9</v>
      </c>
      <c r="BR23" s="6">
        <v>16</v>
      </c>
      <c r="BS23" s="33">
        <f t="shared" si="21"/>
        <v>0.68125000000000002</v>
      </c>
      <c r="BT23" s="42">
        <v>0.16500000000000001</v>
      </c>
      <c r="BU23" s="3">
        <v>9</v>
      </c>
      <c r="BV23" s="37">
        <f t="shared" si="43"/>
        <v>54.54545454545454</v>
      </c>
      <c r="BW23" s="3">
        <v>9</v>
      </c>
      <c r="BX23" s="3">
        <v>9</v>
      </c>
      <c r="BY23" s="80" t="s">
        <v>1027</v>
      </c>
      <c r="BZ23" s="4" t="s">
        <v>168</v>
      </c>
      <c r="CA23" s="6">
        <v>23.3</v>
      </c>
      <c r="CB23" s="6">
        <v>25</v>
      </c>
      <c r="CC23" s="33">
        <f t="shared" si="22"/>
        <v>0.93200000000000005</v>
      </c>
      <c r="CD23" s="42">
        <v>0.38600000000000001</v>
      </c>
      <c r="CE23" s="3">
        <v>3</v>
      </c>
      <c r="CF23" s="37">
        <f t="shared" si="23"/>
        <v>7.7720207253886011</v>
      </c>
      <c r="CG23" s="3">
        <v>3</v>
      </c>
      <c r="CH23" s="3">
        <v>3</v>
      </c>
      <c r="CI23" s="80" t="s">
        <v>1028</v>
      </c>
      <c r="CJ23" s="4" t="s">
        <v>168</v>
      </c>
      <c r="CK23" s="6">
        <v>19.899999999999999</v>
      </c>
      <c r="CL23" s="6">
        <v>20</v>
      </c>
      <c r="CM23" s="33">
        <f t="shared" si="24"/>
        <v>0.99499999999999988</v>
      </c>
      <c r="CN23" s="42">
        <v>0.24399999999999999</v>
      </c>
      <c r="CO23" s="3">
        <v>6</v>
      </c>
      <c r="CP23" s="37">
        <f t="shared" si="25"/>
        <v>24.590163934426229</v>
      </c>
      <c r="CQ23" s="3">
        <v>6</v>
      </c>
      <c r="CR23" s="3">
        <v>6</v>
      </c>
      <c r="CS23" s="80" t="s">
        <v>1029</v>
      </c>
      <c r="CT23" s="4" t="s">
        <v>168</v>
      </c>
      <c r="CU23" s="6">
        <v>20.2</v>
      </c>
      <c r="CV23" s="6">
        <v>22</v>
      </c>
      <c r="CW23" s="33">
        <f t="shared" si="26"/>
        <v>0.9181818181818181</v>
      </c>
      <c r="CX23" s="42">
        <v>0.42599999999999999</v>
      </c>
      <c r="CY23" s="3"/>
      <c r="CZ23" s="37" t="str">
        <f t="shared" si="27"/>
        <v/>
      </c>
      <c r="DA23" s="3"/>
      <c r="DB23" s="3"/>
      <c r="DC23" s="80" t="s">
        <v>1030</v>
      </c>
      <c r="DD23" s="4" t="s">
        <v>168</v>
      </c>
      <c r="DE23" s="6">
        <v>11.1</v>
      </c>
      <c r="DF23" s="6">
        <v>18</v>
      </c>
      <c r="DG23" s="33">
        <f t="shared" si="28"/>
        <v>0.6166666666666667</v>
      </c>
      <c r="DH23" s="42">
        <v>0.27200000000000002</v>
      </c>
      <c r="DI23" s="3">
        <v>2</v>
      </c>
      <c r="DJ23" s="37">
        <f t="shared" si="29"/>
        <v>7.3529411764705879</v>
      </c>
      <c r="DK23" s="3">
        <v>2</v>
      </c>
      <c r="DL23" s="3">
        <v>2</v>
      </c>
      <c r="DM23" s="80"/>
      <c r="DN23" s="4"/>
      <c r="DO23" s="6"/>
      <c r="DP23" s="6"/>
      <c r="DQ23" s="33" t="str">
        <f t="shared" si="30"/>
        <v/>
      </c>
      <c r="DR23" s="42"/>
      <c r="DS23" s="3"/>
      <c r="DT23" s="37" t="str">
        <f t="shared" si="46"/>
        <v/>
      </c>
      <c r="DU23" s="3"/>
      <c r="DV23" s="3"/>
      <c r="DW23" s="80" t="s">
        <v>1031</v>
      </c>
      <c r="DX23" s="4" t="s">
        <v>168</v>
      </c>
      <c r="DY23" s="6">
        <v>11.1</v>
      </c>
      <c r="DZ23" s="6">
        <v>17</v>
      </c>
      <c r="EA23" s="33">
        <f t="shared" si="31"/>
        <v>0.65294117647058825</v>
      </c>
      <c r="EB23" s="42">
        <v>0.217</v>
      </c>
      <c r="EC23" s="3">
        <v>5</v>
      </c>
      <c r="ED23" s="37">
        <f t="shared" si="32"/>
        <v>23.041474654377879</v>
      </c>
      <c r="EE23" s="3">
        <v>5</v>
      </c>
      <c r="EF23" s="3">
        <v>5</v>
      </c>
      <c r="EG23" s="80" t="s">
        <v>1032</v>
      </c>
      <c r="EH23" s="4" t="s">
        <v>168</v>
      </c>
      <c r="EI23" s="6">
        <v>11.1</v>
      </c>
      <c r="EJ23" s="6">
        <v>25</v>
      </c>
      <c r="EK23" s="33">
        <f t="shared" si="33"/>
        <v>0.44400000000000001</v>
      </c>
      <c r="EL23" s="42">
        <v>0.30399999999999999</v>
      </c>
      <c r="EM23" s="3">
        <v>5</v>
      </c>
      <c r="EN23" s="37">
        <f t="shared" si="34"/>
        <v>16.447368421052634</v>
      </c>
      <c r="EO23" s="3">
        <v>5</v>
      </c>
      <c r="EP23" s="3">
        <v>5</v>
      </c>
      <c r="EQ23" s="80" t="s">
        <v>1033</v>
      </c>
      <c r="ER23" s="4" t="s">
        <v>168</v>
      </c>
      <c r="ES23" s="6">
        <v>11.2</v>
      </c>
      <c r="ET23" s="6">
        <v>19</v>
      </c>
      <c r="EU23" s="33">
        <f t="shared" si="35"/>
        <v>0.58947368421052626</v>
      </c>
      <c r="EV23" s="42">
        <v>0.33100000000000002</v>
      </c>
      <c r="EW23" s="3">
        <v>5</v>
      </c>
      <c r="EX23" s="37">
        <f t="shared" si="36"/>
        <v>15.105740181268882</v>
      </c>
      <c r="EY23" s="3">
        <v>5</v>
      </c>
      <c r="EZ23" s="3">
        <v>5</v>
      </c>
      <c r="FA23" s="4"/>
      <c r="FB23" s="4"/>
      <c r="FC23" s="6"/>
      <c r="FD23" s="6"/>
      <c r="FE23" s="33" t="str">
        <f t="shared" si="37"/>
        <v/>
      </c>
      <c r="FF23" s="42"/>
      <c r="FG23" s="3"/>
      <c r="FH23" s="37" t="str">
        <f t="shared" si="38"/>
        <v/>
      </c>
      <c r="FI23" s="3"/>
      <c r="FJ23" s="3"/>
      <c r="FM23" s="54">
        <f t="shared" si="44"/>
        <v>4.2650000000000006</v>
      </c>
      <c r="FN23" s="54">
        <f t="shared" si="44"/>
        <v>40</v>
      </c>
      <c r="FO23" s="471">
        <f t="shared" si="39"/>
        <v>158.20000000000002</v>
      </c>
      <c r="FP23" s="471">
        <f t="shared" si="39"/>
        <v>227</v>
      </c>
    </row>
    <row r="24" spans="2:172" ht="186.95">
      <c r="B24" s="3" t="s">
        <v>1034</v>
      </c>
      <c r="C24" s="3" t="s">
        <v>223</v>
      </c>
      <c r="D24" s="3" t="s">
        <v>224</v>
      </c>
      <c r="E24" s="4">
        <v>9</v>
      </c>
      <c r="F24" s="123" t="str">
        <f t="shared" si="1"/>
        <v>×
[P・Q]
×・×</v>
      </c>
      <c r="G24" s="123" t="str">
        <f t="shared" si="2"/>
        <v>×
[P・Q]
×・×</v>
      </c>
      <c r="H24" s="123" t="str">
        <f t="shared" si="3"/>
        <v>×
[P・Q]
○・×</v>
      </c>
      <c r="I24" s="123" t="str">
        <f t="shared" si="4"/>
        <v>×
[P・Q]
○・×</v>
      </c>
      <c r="J24" s="123" t="str">
        <f t="shared" si="5"/>
        <v>×
[P・Q]
○・×</v>
      </c>
      <c r="K24" s="123" t="str">
        <f t="shared" si="45"/>
        <v>×
[P・Q]
○・×</v>
      </c>
      <c r="L24" s="123" t="str">
        <f>IF($E24&lt;L$9,"",IF(AND(DG24&gt;0.6,DJ24&lt;=8,DK24=DL24),"○","×")&amp;CHAR(10)&amp;"[P・Q]"&amp;CHAR(10)&amp;IF(DG24="","--",IF(DG24&gt;0.6,"○","×"))&amp;IF(DJ24="","・--",IF(DJ24&lt;=8,"・○","・×")))</f>
        <v>○
[P・Q]
○・○</v>
      </c>
      <c r="M24" s="123" t="str">
        <f t="shared" ref="M24:M31" si="48">IF($E24&lt;M$9,"",IF(AND(DQ24&gt;0.6,DT24&lt;=8,DU24=DV24),"○","×")&amp;CHAR(10)&amp;"[P・Q]"&amp;CHAR(10)&amp;IF(DQ24="","--",IF(DQ24&gt;0.6,"○","×"))&amp;IF(DT24="","・--",IF(DT24&lt;=8,"・○","・×")))</f>
        <v>×
[P・Q]
○・--</v>
      </c>
      <c r="N24" s="123" t="str">
        <f t="shared" si="47"/>
        <v>×
[P・Q]
○・--</v>
      </c>
      <c r="O24" s="123"/>
      <c r="P24" s="123" t="str">
        <f t="shared" si="7"/>
        <v/>
      </c>
      <c r="Q24" s="123" t="str">
        <f t="shared" si="8"/>
        <v/>
      </c>
      <c r="R24" s="76">
        <f t="shared" si="9"/>
        <v>0.77777777777777779</v>
      </c>
      <c r="S24" s="28">
        <v>5</v>
      </c>
      <c r="T24" s="4">
        <v>3</v>
      </c>
      <c r="U24" s="4">
        <v>5</v>
      </c>
      <c r="V24" s="4">
        <v>5</v>
      </c>
      <c r="W24" s="77">
        <f t="shared" si="10"/>
        <v>29.166666666666668</v>
      </c>
      <c r="X24" s="77">
        <f t="shared" si="11"/>
        <v>4.166666666666667</v>
      </c>
      <c r="Y24" s="77" cm="1">
        <f t="array" ref="Y24">_xlfn.IFS(R24&gt;=0.8,5,R24&gt;=0.6,3,R24&gt;=0.2,1,R24&lt;0.2,0)</f>
        <v>3</v>
      </c>
      <c r="Z24" s="55">
        <f t="shared" si="40"/>
        <v>54.333333333333336</v>
      </c>
      <c r="AA24" s="5" t="s">
        <v>1035</v>
      </c>
      <c r="AB24" s="5" t="s">
        <v>1036</v>
      </c>
      <c r="AC24" s="191" t="s">
        <v>226</v>
      </c>
      <c r="AD24" s="5" t="s">
        <v>1037</v>
      </c>
      <c r="AE24" s="5"/>
      <c r="AF24" s="5" t="s">
        <v>1038</v>
      </c>
      <c r="AG24" s="310">
        <f>TaskEndDay!H74</f>
        <v>0.88888888888888884</v>
      </c>
      <c r="AH24" s="201">
        <f>IFERROR(AVERAGE(AY24,BI24,BS24,CC24,CM24,CW24,DG24,DQ24,EA24,EK24)," ")</f>
        <v>0.87757878997009431</v>
      </c>
      <c r="AI24" s="202">
        <f>IFERROR(AVERAGE(BB24,BL24,BV24,CF24,CP24,CZ24,DJ24,DT24,ED24,EN24)," ")</f>
        <v>23.966916990756136</v>
      </c>
      <c r="AJ24" s="80" t="str">
        <f t="shared" si="12"/>
        <v>HIGH</v>
      </c>
      <c r="AK24" s="191" t="str">
        <f t="shared" si="13"/>
        <v>LOW</v>
      </c>
      <c r="AL24" s="5" t="s">
        <v>1039</v>
      </c>
      <c r="AM24" s="5" t="s">
        <v>1040</v>
      </c>
      <c r="AN24" s="128" t="str">
        <f>IF(AND(Z24&gt;Summary!$C$5, Z24&lt;=Summary!$D$5),Summary!$B$5,IF(AND(Z24&gt;Summary!$C$6, Z24&lt;=Summary!$D$6),Summary!$B$6,IF(AND(Z24&gt;Summary!$C$7, Z24&lt;=Summary!$D$7),Summary!$B$7,Summary!$B$8)))</f>
        <v>○</v>
      </c>
      <c r="AO24" s="14" t="s">
        <v>168</v>
      </c>
      <c r="AP24" s="14"/>
      <c r="AQ24" s="14"/>
      <c r="AR24" s="151"/>
      <c r="AS24" s="151" t="s">
        <v>168</v>
      </c>
      <c r="AT24" s="130" t="s">
        <v>892</v>
      </c>
      <c r="AU24" s="80" t="s">
        <v>1041</v>
      </c>
      <c r="AV24" s="4" t="s">
        <v>168</v>
      </c>
      <c r="AW24" s="6">
        <v>10.9</v>
      </c>
      <c r="AX24" s="6">
        <v>25</v>
      </c>
      <c r="AY24" s="33">
        <f t="shared" si="17"/>
        <v>0.436</v>
      </c>
      <c r="AZ24" s="42">
        <v>0.154</v>
      </c>
      <c r="BA24" s="3">
        <v>6</v>
      </c>
      <c r="BB24" s="37">
        <f t="shared" si="18"/>
        <v>38.961038961038959</v>
      </c>
      <c r="BC24" s="3">
        <v>6</v>
      </c>
      <c r="BD24" s="3">
        <v>6</v>
      </c>
      <c r="BE24" s="80" t="s">
        <v>1042</v>
      </c>
      <c r="BF24" s="4" t="s">
        <v>168</v>
      </c>
      <c r="BG24" s="6">
        <v>11.2</v>
      </c>
      <c r="BH24" s="6">
        <v>32</v>
      </c>
      <c r="BI24" s="33">
        <f t="shared" si="19"/>
        <v>0.35</v>
      </c>
      <c r="BJ24" s="42">
        <v>0.36799999999999999</v>
      </c>
      <c r="BK24" s="3">
        <v>4</v>
      </c>
      <c r="BL24" s="37">
        <f t="shared" si="20"/>
        <v>10.869565217391305</v>
      </c>
      <c r="BM24" s="3">
        <v>4</v>
      </c>
      <c r="BN24" s="3">
        <v>4</v>
      </c>
      <c r="BO24" s="80" t="s">
        <v>1043</v>
      </c>
      <c r="BP24" s="4" t="s">
        <v>168</v>
      </c>
      <c r="BQ24" s="6">
        <v>15.9</v>
      </c>
      <c r="BR24" s="6">
        <v>23</v>
      </c>
      <c r="BS24" s="33">
        <f t="shared" si="21"/>
        <v>0.69130434782608696</v>
      </c>
      <c r="BT24" s="42">
        <v>0.09</v>
      </c>
      <c r="BU24" s="3">
        <v>2</v>
      </c>
      <c r="BV24" s="37">
        <f t="shared" si="43"/>
        <v>22.222222222222221</v>
      </c>
      <c r="BW24" s="3">
        <v>2</v>
      </c>
      <c r="BX24" s="3">
        <v>2</v>
      </c>
      <c r="BY24" s="80" t="s">
        <v>1044</v>
      </c>
      <c r="BZ24" s="4" t="s">
        <v>168</v>
      </c>
      <c r="CA24" s="6">
        <v>20</v>
      </c>
      <c r="CB24" s="6">
        <v>21</v>
      </c>
      <c r="CC24" s="33">
        <f t="shared" si="22"/>
        <v>0.95238095238095233</v>
      </c>
      <c r="CD24" s="42">
        <v>0.48399999999999999</v>
      </c>
      <c r="CE24" s="3">
        <v>6</v>
      </c>
      <c r="CF24" s="37">
        <f t="shared" si="23"/>
        <v>12.396694214876034</v>
      </c>
      <c r="CG24" s="3">
        <v>6</v>
      </c>
      <c r="CH24" s="3">
        <v>6</v>
      </c>
      <c r="CI24" s="80" t="s">
        <v>1045</v>
      </c>
      <c r="CJ24" s="4" t="s">
        <v>168</v>
      </c>
      <c r="CK24" s="6">
        <v>10.9</v>
      </c>
      <c r="CL24" s="6">
        <v>14</v>
      </c>
      <c r="CM24" s="33">
        <f t="shared" si="24"/>
        <v>0.77857142857142858</v>
      </c>
      <c r="CN24" s="42">
        <v>4.5999999999999999E-2</v>
      </c>
      <c r="CO24" s="3">
        <v>2</v>
      </c>
      <c r="CP24" s="37">
        <f t="shared" si="25"/>
        <v>43.478260869565219</v>
      </c>
      <c r="CQ24" s="3">
        <v>2</v>
      </c>
      <c r="CR24" s="3">
        <v>2</v>
      </c>
      <c r="CS24" s="80" t="s">
        <v>1046</v>
      </c>
      <c r="CT24" s="4" t="s">
        <v>168</v>
      </c>
      <c r="CU24" s="6">
        <v>11</v>
      </c>
      <c r="CV24" s="6">
        <v>16.5</v>
      </c>
      <c r="CW24" s="33">
        <f t="shared" si="26"/>
        <v>0.66666666666666663</v>
      </c>
      <c r="CX24" s="42">
        <v>0.251</v>
      </c>
      <c r="CY24" s="3">
        <v>10</v>
      </c>
      <c r="CZ24" s="37">
        <f t="shared" si="27"/>
        <v>39.840637450199203</v>
      </c>
      <c r="DA24" s="3">
        <v>10</v>
      </c>
      <c r="DB24" s="3">
        <v>10</v>
      </c>
      <c r="DC24" s="80" t="s">
        <v>1047</v>
      </c>
      <c r="DD24" s="4" t="s">
        <v>168</v>
      </c>
      <c r="DE24" s="6">
        <v>11.1</v>
      </c>
      <c r="DF24" s="6">
        <v>17.5</v>
      </c>
      <c r="DG24" s="33">
        <f t="shared" si="28"/>
        <v>0.63428571428571423</v>
      </c>
      <c r="DH24" s="42">
        <v>0.27600000000000002</v>
      </c>
      <c r="DI24" s="3">
        <f>0</f>
        <v>0</v>
      </c>
      <c r="DJ24" s="37">
        <f t="shared" si="29"/>
        <v>0</v>
      </c>
      <c r="DK24" s="3">
        <f>0</f>
        <v>0</v>
      </c>
      <c r="DL24" s="3">
        <f>0</f>
        <v>0</v>
      </c>
      <c r="DM24" s="80" t="s">
        <v>1048</v>
      </c>
      <c r="DN24" s="4"/>
      <c r="DO24" s="6">
        <v>23.3</v>
      </c>
      <c r="DP24" s="6">
        <v>20</v>
      </c>
      <c r="DQ24" s="33">
        <f t="shared" si="30"/>
        <v>1.165</v>
      </c>
      <c r="DR24" s="42">
        <v>2.7410000000000001</v>
      </c>
      <c r="DS24" s="3"/>
      <c r="DT24" s="37" t="str">
        <f t="shared" si="46"/>
        <v/>
      </c>
      <c r="DU24" s="3"/>
      <c r="DV24" s="3"/>
      <c r="DW24" s="80" t="s">
        <v>1049</v>
      </c>
      <c r="DX24" s="4"/>
      <c r="DY24" s="6">
        <v>27.8</v>
      </c>
      <c r="DZ24" s="6">
        <v>12.5</v>
      </c>
      <c r="EA24" s="33">
        <f t="shared" si="31"/>
        <v>2.2240000000000002</v>
      </c>
      <c r="EB24" s="42">
        <v>4.2320000000000002</v>
      </c>
      <c r="EC24" s="3"/>
      <c r="ED24" s="37" t="str">
        <f t="shared" si="32"/>
        <v/>
      </c>
      <c r="EE24" s="3"/>
      <c r="EF24" s="3"/>
      <c r="EG24" s="80"/>
      <c r="EH24" s="4"/>
      <c r="EI24" s="6"/>
      <c r="EJ24" s="6"/>
      <c r="EK24" s="33" t="str">
        <f t="shared" si="33"/>
        <v/>
      </c>
      <c r="EL24" s="42"/>
      <c r="EM24" s="3"/>
      <c r="EN24" s="37" t="str">
        <f t="shared" si="34"/>
        <v/>
      </c>
      <c r="EO24" s="3"/>
      <c r="EP24" s="3"/>
      <c r="EQ24" s="80" t="s">
        <v>1050</v>
      </c>
      <c r="ER24" s="4"/>
      <c r="ES24" s="6">
        <v>11.1</v>
      </c>
      <c r="ET24" s="6"/>
      <c r="EU24" s="33" t="str">
        <f t="shared" si="35"/>
        <v/>
      </c>
      <c r="EV24" s="42"/>
      <c r="EW24" s="3" t="s">
        <v>876</v>
      </c>
      <c r="EX24" s="37" t="str">
        <f t="shared" si="36"/>
        <v/>
      </c>
      <c r="EY24" s="3"/>
      <c r="EZ24" s="3"/>
      <c r="FA24" s="4"/>
      <c r="FB24" s="4"/>
      <c r="FC24" s="6"/>
      <c r="FD24" s="6"/>
      <c r="FE24" s="33" t="str">
        <f t="shared" si="37"/>
        <v/>
      </c>
      <c r="FF24" s="42"/>
      <c r="FG24" s="3"/>
      <c r="FH24" s="37" t="str">
        <f t="shared" si="38"/>
        <v/>
      </c>
      <c r="FI24" s="3"/>
      <c r="FJ24" s="3"/>
      <c r="FM24" s="54">
        <f t="shared" si="44"/>
        <v>8.6420000000000012</v>
      </c>
      <c r="FN24" s="54">
        <f t="shared" si="44"/>
        <v>30</v>
      </c>
      <c r="FO24" s="471">
        <f t="shared" si="39"/>
        <v>153.19999999999999</v>
      </c>
      <c r="FP24" s="471">
        <f t="shared" si="39"/>
        <v>181.5</v>
      </c>
    </row>
    <row r="25" spans="2:172" ht="77.099999999999994" hidden="1">
      <c r="B25" s="3" t="s">
        <v>1051</v>
      </c>
      <c r="C25" s="3" t="s">
        <v>223</v>
      </c>
      <c r="D25" s="3" t="s">
        <v>224</v>
      </c>
      <c r="E25" s="4">
        <v>9</v>
      </c>
      <c r="F25" s="123" t="str">
        <f t="shared" si="1"/>
        <v>×
[P・Q]
○・×</v>
      </c>
      <c r="G25" s="123" t="str">
        <f t="shared" si="2"/>
        <v>×
[P・Q]
○・--</v>
      </c>
      <c r="H25" s="123" t="str">
        <f t="shared" si="3"/>
        <v>×
[P・Q]
--・--</v>
      </c>
      <c r="I25" s="123" t="str">
        <f t="shared" si="4"/>
        <v>×
[P・Q]
--・×</v>
      </c>
      <c r="J25" s="123" t="str">
        <f t="shared" si="5"/>
        <v>×
[P・Q]
--・--</v>
      </c>
      <c r="K25" s="123" t="str">
        <f t="shared" si="45"/>
        <v>×
[P・Q]
--・--</v>
      </c>
      <c r="L25" s="123" t="str">
        <f>IF($E25&lt;L$9,"",IF(AND(DG25&gt;0.6,DJ25&lt;=8,DK25=DL25),"○","×")&amp;CHAR(10)&amp;"[P・Q]"&amp;CHAR(10)&amp;IF(DG25="","--",IF(DG25&gt;0.6,"○","×"))&amp;IF(DJ25="","・--",IF(DJ25&lt;=8,"・○","・×")))</f>
        <v>×
[P・Q]
--・--</v>
      </c>
      <c r="M25" s="123" t="str">
        <f t="shared" si="48"/>
        <v>×
[P・Q]
--・--</v>
      </c>
      <c r="N25" s="123" t="str">
        <f t="shared" si="47"/>
        <v>×
[P・Q]
--・--</v>
      </c>
      <c r="O25" s="123" t="str">
        <f t="shared" ref="O25:O31" si="49">IF($E25&lt;O$9,"",IF(AND(EK25&gt;0.6,EN25&lt;=8,EO25=EP25),"○","×")&amp;CHAR(10)&amp;"[P・Q]"&amp;CHAR(10)&amp;IF(EK25="","--",IF(EK25&gt;0.6,"○","×"))&amp;IF(EN25="","・--",IF(EN25&lt;=8,"・○","・×")))</f>
        <v/>
      </c>
      <c r="P25" s="123" t="str">
        <f t="shared" si="7"/>
        <v/>
      </c>
      <c r="Q25" s="123" t="str">
        <f t="shared" si="8"/>
        <v/>
      </c>
      <c r="R25" s="76">
        <f t="shared" si="9"/>
        <v>0.22222222222222221</v>
      </c>
      <c r="S25" s="28">
        <v>5</v>
      </c>
      <c r="T25" s="4">
        <v>1</v>
      </c>
      <c r="U25" s="4">
        <v>1</v>
      </c>
      <c r="V25" s="4">
        <v>1</v>
      </c>
      <c r="W25" s="77">
        <f t="shared" si="10"/>
        <v>8.3333333333333339</v>
      </c>
      <c r="X25" s="77">
        <f t="shared" si="11"/>
        <v>0</v>
      </c>
      <c r="Y25" s="77" cm="1">
        <f t="array" ref="Y25">_xlfn.IFS(R25&gt;=0.8,5,R25&gt;=0.6,3,R25&gt;=0.2,1,R25&lt;0.2,0)</f>
        <v>1</v>
      </c>
      <c r="Z25" s="55">
        <f t="shared" si="40"/>
        <v>17.333333333333336</v>
      </c>
      <c r="AA25" s="5" t="s">
        <v>1052</v>
      </c>
      <c r="AB25" s="5" t="s">
        <v>1053</v>
      </c>
      <c r="AC25" s="5"/>
      <c r="AD25" s="130"/>
      <c r="AE25" s="5"/>
      <c r="AF25" s="5"/>
      <c r="AG25" s="5"/>
      <c r="AH25" s="201"/>
      <c r="AI25" s="202"/>
      <c r="AJ25" s="80" t="str">
        <f t="shared" si="12"/>
        <v>LOW</v>
      </c>
      <c r="AK25" s="356" t="str">
        <f t="shared" si="13"/>
        <v>HIGH</v>
      </c>
      <c r="AL25" s="130"/>
      <c r="AM25" s="130"/>
      <c r="AN25" s="128" t="str">
        <f>IF(AND(Z25&gt;Summary!$C$5, Z25&lt;=Summary!$D$5),Summary!$B$5,IF(AND(Z25&gt;Summary!$C$6, Z25&lt;=Summary!$D$6),Summary!$B$6,IF(AND(Z25&gt;Summary!$C$7, Z25&lt;=Summary!$D$7),Summary!$B$7,Summary!$B$8)))</f>
        <v>×</v>
      </c>
      <c r="AO25" s="14" t="s">
        <v>178</v>
      </c>
      <c r="AP25" s="14" t="s">
        <v>168</v>
      </c>
      <c r="AQ25" s="14"/>
      <c r="AR25" s="151"/>
      <c r="AS25" s="151"/>
      <c r="AT25" s="130" t="s">
        <v>892</v>
      </c>
      <c r="AU25" s="80" t="s">
        <v>1054</v>
      </c>
      <c r="AV25" s="4" t="s">
        <v>168</v>
      </c>
      <c r="AW25" s="6">
        <v>10.9</v>
      </c>
      <c r="AX25" s="6">
        <v>14</v>
      </c>
      <c r="AY25" s="33">
        <f t="shared" si="17"/>
        <v>0.77857142857142858</v>
      </c>
      <c r="AZ25" s="42">
        <v>0.13100000000000001</v>
      </c>
      <c r="BA25" s="3">
        <v>2</v>
      </c>
      <c r="BB25" s="37">
        <f t="shared" si="18"/>
        <v>15.267175572519083</v>
      </c>
      <c r="BC25" s="3">
        <v>2</v>
      </c>
      <c r="BD25" s="3">
        <v>2</v>
      </c>
      <c r="BE25" s="80" t="s">
        <v>1055</v>
      </c>
      <c r="BF25" s="4"/>
      <c r="BG25" s="6">
        <v>23.4</v>
      </c>
      <c r="BH25" s="6">
        <v>10</v>
      </c>
      <c r="BI25" s="33">
        <f t="shared" si="19"/>
        <v>2.34</v>
      </c>
      <c r="BJ25" s="42">
        <v>0.2</v>
      </c>
      <c r="BK25" s="3" t="s">
        <v>876</v>
      </c>
      <c r="BL25" s="37" t="str">
        <f t="shared" si="20"/>
        <v/>
      </c>
      <c r="BM25" s="3" t="s">
        <v>876</v>
      </c>
      <c r="BN25" s="3" t="s">
        <v>876</v>
      </c>
      <c r="BO25" s="80" t="s">
        <v>1056</v>
      </c>
      <c r="BP25" s="4"/>
      <c r="BQ25" s="6"/>
      <c r="BR25" s="6" t="s">
        <v>876</v>
      </c>
      <c r="BS25" s="33" t="str">
        <f t="shared" si="21"/>
        <v/>
      </c>
      <c r="BT25" s="42">
        <v>4.7E-2</v>
      </c>
      <c r="BU25" s="3"/>
      <c r="BV25" s="37" t="str">
        <f t="shared" si="43"/>
        <v/>
      </c>
      <c r="BW25" s="3" t="s">
        <v>876</v>
      </c>
      <c r="BX25" s="3" t="s">
        <v>876</v>
      </c>
      <c r="BY25" s="80" t="s">
        <v>1057</v>
      </c>
      <c r="BZ25" s="4" t="s">
        <v>168</v>
      </c>
      <c r="CA25" s="6"/>
      <c r="CB25" s="6" t="s">
        <v>876</v>
      </c>
      <c r="CC25" s="33" t="str">
        <f t="shared" si="22"/>
        <v/>
      </c>
      <c r="CD25" s="42">
        <v>3.6999999999999998E-2</v>
      </c>
      <c r="CE25" s="3">
        <v>1</v>
      </c>
      <c r="CF25" s="37">
        <f t="shared" si="23"/>
        <v>27.027027027027028</v>
      </c>
      <c r="CG25" s="3">
        <v>1</v>
      </c>
      <c r="CH25" s="3">
        <v>1</v>
      </c>
      <c r="CI25" s="80" t="s">
        <v>1058</v>
      </c>
      <c r="CJ25" s="4"/>
      <c r="CK25" s="6"/>
      <c r="CL25" s="6"/>
      <c r="CM25" s="33" t="str">
        <f t="shared" si="24"/>
        <v/>
      </c>
      <c r="CN25" s="42"/>
      <c r="CO25" s="3"/>
      <c r="CP25" s="37" t="str">
        <f t="shared" si="25"/>
        <v/>
      </c>
      <c r="CQ25" s="3"/>
      <c r="CR25" s="3"/>
      <c r="CS25" s="80" t="s">
        <v>965</v>
      </c>
      <c r="CT25" s="4"/>
      <c r="CU25" s="6"/>
      <c r="CV25" s="6"/>
      <c r="CW25" s="33" t="str">
        <f t="shared" si="26"/>
        <v/>
      </c>
      <c r="CX25" s="42">
        <v>0.1</v>
      </c>
      <c r="CY25" s="3"/>
      <c r="CZ25" s="37" t="str">
        <f t="shared" si="27"/>
        <v/>
      </c>
      <c r="DA25" s="3"/>
      <c r="DB25" s="3"/>
      <c r="DC25" s="80" t="s">
        <v>966</v>
      </c>
      <c r="DD25" s="4"/>
      <c r="DE25" s="6">
        <v>16.399999999999999</v>
      </c>
      <c r="DF25" s="6"/>
      <c r="DG25" s="33" t="str">
        <f t="shared" si="28"/>
        <v/>
      </c>
      <c r="DH25" s="42">
        <v>3.6999999999999998E-2</v>
      </c>
      <c r="DI25" s="3"/>
      <c r="DJ25" s="37" t="str">
        <f t="shared" si="29"/>
        <v/>
      </c>
      <c r="DK25" s="3"/>
      <c r="DL25" s="3"/>
      <c r="DM25" s="80" t="s">
        <v>1059</v>
      </c>
      <c r="DN25" s="4"/>
      <c r="DO25" s="6">
        <v>23.5</v>
      </c>
      <c r="DP25" s="6"/>
      <c r="DQ25" s="33" t="str">
        <f t="shared" si="30"/>
        <v/>
      </c>
      <c r="DR25" s="42"/>
      <c r="DS25" s="3"/>
      <c r="DT25" s="37" t="str">
        <f t="shared" si="46"/>
        <v/>
      </c>
      <c r="DU25" s="3"/>
      <c r="DV25" s="3"/>
      <c r="DW25" s="80" t="s">
        <v>1060</v>
      </c>
      <c r="DX25" s="4"/>
      <c r="DY25" s="6">
        <v>19.399999999999999</v>
      </c>
      <c r="DZ25" s="6"/>
      <c r="EA25" s="33" t="str">
        <f t="shared" si="31"/>
        <v/>
      </c>
      <c r="EB25" s="42"/>
      <c r="EC25" s="3"/>
      <c r="ED25" s="37" t="str">
        <f t="shared" si="32"/>
        <v/>
      </c>
      <c r="EE25" s="3"/>
      <c r="EF25" s="3"/>
      <c r="EG25" s="80" t="s">
        <v>966</v>
      </c>
      <c r="EH25" s="4"/>
      <c r="EI25" s="6">
        <v>16.399999999999999</v>
      </c>
      <c r="EJ25" s="6"/>
      <c r="EK25" s="33" t="str">
        <f t="shared" si="33"/>
        <v/>
      </c>
      <c r="EL25" s="42">
        <v>3.6999999999999998E-2</v>
      </c>
      <c r="EM25" s="3"/>
      <c r="EN25" s="37" t="str">
        <f t="shared" si="34"/>
        <v/>
      </c>
      <c r="EO25" s="3"/>
      <c r="EP25" s="3"/>
      <c r="EQ25" s="80"/>
      <c r="ER25" s="4"/>
      <c r="ES25" s="6"/>
      <c r="ET25" s="6"/>
      <c r="EU25" s="33" t="str">
        <f t="shared" si="35"/>
        <v/>
      </c>
      <c r="EV25" s="42"/>
      <c r="EW25" s="3"/>
      <c r="EX25" s="37" t="str">
        <f t="shared" si="36"/>
        <v/>
      </c>
      <c r="EY25" s="3"/>
      <c r="EZ25" s="3"/>
      <c r="FA25" s="4"/>
      <c r="FB25" s="4"/>
      <c r="FC25" s="6"/>
      <c r="FD25" s="6"/>
      <c r="FE25" s="33" t="str">
        <f t="shared" si="37"/>
        <v/>
      </c>
      <c r="FF25" s="42"/>
      <c r="FG25" s="3"/>
      <c r="FH25" s="37" t="str">
        <f t="shared" si="38"/>
        <v/>
      </c>
      <c r="FI25" s="3"/>
      <c r="FJ25" s="3"/>
      <c r="FM25" s="54">
        <f t="shared" si="44"/>
        <v>0.58899999999999997</v>
      </c>
      <c r="FN25" s="54">
        <f t="shared" si="44"/>
        <v>3</v>
      </c>
      <c r="FO25" s="471">
        <f t="shared" si="39"/>
        <v>110</v>
      </c>
      <c r="FP25" s="471">
        <f t="shared" si="39"/>
        <v>24</v>
      </c>
    </row>
    <row r="26" spans="2:172" ht="285.95">
      <c r="B26" s="27" t="s">
        <v>1061</v>
      </c>
      <c r="C26" s="27" t="s">
        <v>223</v>
      </c>
      <c r="D26" s="3" t="s">
        <v>224</v>
      </c>
      <c r="E26" s="4">
        <v>8</v>
      </c>
      <c r="F26" s="123" t="str">
        <f t="shared" si="1"/>
        <v>×
[P・Q]
×・×</v>
      </c>
      <c r="G26" s="123" t="str">
        <f t="shared" si="2"/>
        <v>×
[P・Q]
○・×</v>
      </c>
      <c r="H26" s="123" t="str">
        <f t="shared" si="3"/>
        <v>×
[P・Q]
×・×</v>
      </c>
      <c r="I26" s="123" t="str">
        <f t="shared" si="4"/>
        <v>×
[P・Q]
×・○</v>
      </c>
      <c r="J26" s="123" t="str">
        <f>IF($E26&lt;J$9,"",IF(AND(CM26&gt;0.6,CP26&lt;=8,CQ26=CR26),"○","×")&amp;CHAR(10)&amp;"[P・Q]"&amp;CHAR(10)&amp;IF(CM26="","--",IF(CM26&gt;0.6,"○","×"))&amp;IF(CP26="","・--",IF(CP26&lt;=8,"・○","・×")))</f>
        <v>×
[P・Q]
×・×</v>
      </c>
      <c r="K26" s="123" t="str">
        <f t="shared" si="45"/>
        <v>×
[P・Q]
--・--</v>
      </c>
      <c r="L26" s="123" t="str">
        <f>IF($E26&lt;L$9,"",IF(AND(DG26&gt;0.6,DJ26&lt;=8,DK26=DL26),"○","×")&amp;CHAR(10)&amp;"[P・Q]"&amp;CHAR(10)&amp;IF(DG26="","--",IF(DG26&gt;0.6,"○","×"))&amp;IF(DJ26="","・--",IF(DJ26&lt;=8,"・○","・×")))</f>
        <v>×
[P・Q]
--・--</v>
      </c>
      <c r="M26" s="123" t="str">
        <f t="shared" si="48"/>
        <v>×
[P・Q]
--・--</v>
      </c>
      <c r="N26" s="123" t="str">
        <f t="shared" si="47"/>
        <v/>
      </c>
      <c r="O26" s="123" t="str">
        <f t="shared" si="49"/>
        <v/>
      </c>
      <c r="P26" s="123" t="str">
        <f t="shared" si="7"/>
        <v/>
      </c>
      <c r="Q26" s="123" t="str">
        <f t="shared" si="8"/>
        <v/>
      </c>
      <c r="R26" s="76">
        <f t="shared" si="9"/>
        <v>0.625</v>
      </c>
      <c r="S26" s="28">
        <v>5</v>
      </c>
      <c r="T26" s="4">
        <v>3</v>
      </c>
      <c r="U26" s="4">
        <v>1</v>
      </c>
      <c r="V26" s="4">
        <v>3</v>
      </c>
      <c r="W26" s="77">
        <f t="shared" si="10"/>
        <v>4.6875</v>
      </c>
      <c r="X26" s="77">
        <f t="shared" si="11"/>
        <v>4.6875</v>
      </c>
      <c r="Y26" s="77">
        <v>1.1499999999999999</v>
      </c>
      <c r="Z26" s="55">
        <f>SUM(S26:Y26)</f>
        <v>22.524999999999999</v>
      </c>
      <c r="AA26" s="5" t="s">
        <v>1062</v>
      </c>
      <c r="AB26" s="5" t="s">
        <v>904</v>
      </c>
      <c r="AC26" s="191" t="s">
        <v>251</v>
      </c>
      <c r="AD26" s="5" t="s">
        <v>1063</v>
      </c>
      <c r="AE26" s="5"/>
      <c r="AF26" s="5" t="s">
        <v>1064</v>
      </c>
      <c r="AG26" s="310">
        <f>TaskEndDay!H76</f>
        <v>0.875</v>
      </c>
      <c r="AH26" s="201">
        <f>IFERROR(AVERAGE(AY26,BI26,BS26,CC26,CM26,CW26,DG26,DQ26,EA26,EK26)," ")</f>
        <v>0.43516767408717871</v>
      </c>
      <c r="AI26" s="202">
        <f>IFERROR(AVERAGE(BB26,BL26,BV26,CF26,CP26,CZ26,DJ26,DT26,ED26,EN26)," ")</f>
        <v>51.36507936507936</v>
      </c>
      <c r="AJ26" s="191" t="str">
        <f t="shared" si="12"/>
        <v>LOW</v>
      </c>
      <c r="AK26" s="191" t="str">
        <f t="shared" si="13"/>
        <v>LOW</v>
      </c>
      <c r="AL26" s="5" t="s">
        <v>1065</v>
      </c>
      <c r="AM26" s="5" t="s">
        <v>1066</v>
      </c>
      <c r="AN26" s="128" t="str">
        <f>IF(AND(Z26&gt;Summary!$C$5, Z26&lt;=Summary!$D$5),Summary!$B$5,IF(AND(Z26&gt;Summary!$C$6, Z26&lt;=Summary!$D$6),Summary!$B$6,IF(AND(Z26&gt;Summary!$C$7, Z26&lt;=Summary!$D$7),Summary!$B$7,Summary!$B$8)))</f>
        <v>×</v>
      </c>
      <c r="AO26" s="14" t="s">
        <v>174</v>
      </c>
      <c r="AP26" s="14"/>
      <c r="AQ26" s="14"/>
      <c r="AR26" s="14"/>
      <c r="AS26" s="14" t="s">
        <v>168</v>
      </c>
      <c r="AT26" s="29" t="s">
        <v>1067</v>
      </c>
      <c r="AU26" s="80" t="s">
        <v>1068</v>
      </c>
      <c r="AV26" s="4" t="s">
        <v>168</v>
      </c>
      <c r="AW26" s="6">
        <v>10.9</v>
      </c>
      <c r="AX26" s="6">
        <v>38</v>
      </c>
      <c r="AY26" s="33">
        <f t="shared" si="17"/>
        <v>0.2868421052631579</v>
      </c>
      <c r="AZ26" s="42">
        <v>0.11700000000000001</v>
      </c>
      <c r="BA26" s="3">
        <v>7</v>
      </c>
      <c r="BB26" s="37">
        <f t="shared" si="18"/>
        <v>59.829059829059823</v>
      </c>
      <c r="BC26" s="3">
        <v>7</v>
      </c>
      <c r="BD26" s="3">
        <v>7</v>
      </c>
      <c r="BE26" s="80" t="s">
        <v>1069</v>
      </c>
      <c r="BF26" s="4" t="s">
        <v>168</v>
      </c>
      <c r="BG26" s="6">
        <v>20</v>
      </c>
      <c r="BH26" s="6">
        <v>31.5</v>
      </c>
      <c r="BI26" s="33">
        <f t="shared" si="19"/>
        <v>0.63492063492063489</v>
      </c>
      <c r="BJ26" s="42">
        <v>0.252</v>
      </c>
      <c r="BK26" s="3">
        <v>9</v>
      </c>
      <c r="BL26" s="37">
        <f t="shared" si="20"/>
        <v>35.714285714285715</v>
      </c>
      <c r="BM26" s="3">
        <v>9</v>
      </c>
      <c r="BN26" s="3">
        <v>9</v>
      </c>
      <c r="BO26" s="80" t="s">
        <v>1070</v>
      </c>
      <c r="BP26" s="4" t="s">
        <v>168</v>
      </c>
      <c r="BQ26" s="6">
        <v>11</v>
      </c>
      <c r="BR26" s="6">
        <v>25</v>
      </c>
      <c r="BS26" s="33">
        <f t="shared" si="21"/>
        <v>0.44</v>
      </c>
      <c r="BT26" s="42">
        <v>0.104</v>
      </c>
      <c r="BU26" s="3">
        <v>14</v>
      </c>
      <c r="BV26" s="37">
        <f t="shared" si="43"/>
        <v>134.61538461538461</v>
      </c>
      <c r="BW26" s="3">
        <v>14</v>
      </c>
      <c r="BX26" s="3">
        <v>14</v>
      </c>
      <c r="BY26" s="80" t="s">
        <v>1071</v>
      </c>
      <c r="BZ26" s="4" t="s">
        <v>168</v>
      </c>
      <c r="CA26" s="6">
        <v>14.2</v>
      </c>
      <c r="CB26" s="6">
        <v>34</v>
      </c>
      <c r="CC26" s="33">
        <f t="shared" si="22"/>
        <v>0.41764705882352937</v>
      </c>
      <c r="CD26" s="42">
        <v>0.3</v>
      </c>
      <c r="CE26" s="3">
        <v>2</v>
      </c>
      <c r="CF26" s="37">
        <f t="shared" si="23"/>
        <v>6.666666666666667</v>
      </c>
      <c r="CG26" s="3">
        <v>2</v>
      </c>
      <c r="CH26" s="3">
        <v>2</v>
      </c>
      <c r="CI26" s="80" t="s">
        <v>1072</v>
      </c>
      <c r="CJ26" s="4" t="s">
        <v>168</v>
      </c>
      <c r="CK26" s="6">
        <v>11.1</v>
      </c>
      <c r="CL26" s="6">
        <v>28</v>
      </c>
      <c r="CM26" s="33">
        <f t="shared" si="24"/>
        <v>0.39642857142857141</v>
      </c>
      <c r="CN26" s="42">
        <v>0.3</v>
      </c>
      <c r="CO26" s="3">
        <v>6</v>
      </c>
      <c r="CP26" s="37">
        <f t="shared" si="25"/>
        <v>20</v>
      </c>
      <c r="CQ26" s="227">
        <v>6</v>
      </c>
      <c r="CR26" s="3">
        <v>6</v>
      </c>
      <c r="CS26" s="80" t="s">
        <v>1073</v>
      </c>
      <c r="CT26" s="4"/>
      <c r="CU26" s="6">
        <v>19.899999999999999</v>
      </c>
      <c r="CV26" s="6"/>
      <c r="CW26" s="33" t="str">
        <f t="shared" si="26"/>
        <v/>
      </c>
      <c r="CX26" s="42"/>
      <c r="CY26" s="3"/>
      <c r="CZ26" s="37" t="str">
        <f t="shared" si="27"/>
        <v/>
      </c>
      <c r="DA26" s="3"/>
      <c r="DB26" s="3"/>
      <c r="DC26" s="80" t="s">
        <v>1074</v>
      </c>
      <c r="DD26" s="4"/>
      <c r="DE26" s="6">
        <v>26.3</v>
      </c>
      <c r="DF26" s="6"/>
      <c r="DG26" s="33" t="str">
        <f t="shared" si="28"/>
        <v/>
      </c>
      <c r="DH26" s="42"/>
      <c r="DI26" s="3"/>
      <c r="DJ26" s="37" t="str">
        <f t="shared" si="29"/>
        <v/>
      </c>
      <c r="DK26" s="3"/>
      <c r="DL26" s="3"/>
      <c r="DM26" s="80" t="s">
        <v>1075</v>
      </c>
      <c r="DN26" s="4"/>
      <c r="DO26" s="6">
        <v>24.8</v>
      </c>
      <c r="DP26" s="6"/>
      <c r="DQ26" s="33" t="str">
        <f t="shared" si="30"/>
        <v/>
      </c>
      <c r="DR26" s="42"/>
      <c r="DS26" s="3"/>
      <c r="DT26" s="37" t="str">
        <f t="shared" si="46"/>
        <v/>
      </c>
      <c r="DU26" s="3"/>
      <c r="DV26" s="3"/>
      <c r="DW26" s="80"/>
      <c r="DX26" s="4"/>
      <c r="DY26" s="6"/>
      <c r="DZ26" s="6"/>
      <c r="EA26" s="33" t="str">
        <f t="shared" si="31"/>
        <v/>
      </c>
      <c r="EB26" s="42"/>
      <c r="EC26" s="3"/>
      <c r="ED26" s="37" t="str">
        <f t="shared" si="32"/>
        <v/>
      </c>
      <c r="EE26" s="3"/>
      <c r="EF26" s="3"/>
      <c r="EG26" s="80"/>
      <c r="EH26" s="4"/>
      <c r="EI26" s="6"/>
      <c r="EJ26" s="6"/>
      <c r="EK26" s="33" t="str">
        <f t="shared" si="33"/>
        <v/>
      </c>
      <c r="EL26" s="42"/>
      <c r="EM26" s="3"/>
      <c r="EN26" s="37" t="str">
        <f t="shared" si="34"/>
        <v/>
      </c>
      <c r="EO26" s="3"/>
      <c r="EP26" s="3"/>
      <c r="EQ26" s="80"/>
      <c r="ER26" s="4"/>
      <c r="ES26" s="6"/>
      <c r="ET26" s="6"/>
      <c r="EU26" s="33" t="str">
        <f t="shared" si="35"/>
        <v/>
      </c>
      <c r="EV26" s="42"/>
      <c r="EW26" s="3"/>
      <c r="EX26" s="37" t="str">
        <f t="shared" si="36"/>
        <v/>
      </c>
      <c r="EY26" s="3"/>
      <c r="EZ26" s="3"/>
      <c r="FA26" s="4"/>
      <c r="FB26" s="4"/>
      <c r="FC26" s="6"/>
      <c r="FD26" s="6"/>
      <c r="FE26" s="33" t="str">
        <f t="shared" si="37"/>
        <v/>
      </c>
      <c r="FF26" s="42"/>
      <c r="FG26" s="3"/>
      <c r="FH26" s="37" t="str">
        <f t="shared" si="38"/>
        <v/>
      </c>
      <c r="FI26" s="3"/>
      <c r="FJ26" s="3"/>
      <c r="FM26" s="54">
        <f t="shared" si="44"/>
        <v>1.073</v>
      </c>
      <c r="FN26" s="54">
        <f t="shared" si="44"/>
        <v>38</v>
      </c>
      <c r="FO26" s="471">
        <f t="shared" si="39"/>
        <v>138.19999999999999</v>
      </c>
      <c r="FP26" s="471">
        <f t="shared" si="39"/>
        <v>156.5</v>
      </c>
    </row>
    <row r="27" spans="2:172" ht="231">
      <c r="B27" s="27" t="s">
        <v>1076</v>
      </c>
      <c r="C27" s="3" t="s">
        <v>223</v>
      </c>
      <c r="D27" s="3" t="s">
        <v>224</v>
      </c>
      <c r="E27" s="4">
        <v>6</v>
      </c>
      <c r="F27" s="123" t="str">
        <f t="shared" si="1"/>
        <v>×
[P・Q]
○・×</v>
      </c>
      <c r="G27" s="123" t="str">
        <f t="shared" si="2"/>
        <v>×
[P・Q]
×・--</v>
      </c>
      <c r="H27" s="123" t="str">
        <f t="shared" si="3"/>
        <v>×
[P・Q]
×・×</v>
      </c>
      <c r="I27" s="123" t="str">
        <f t="shared" si="4"/>
        <v>×
[P・Q]
×・×</v>
      </c>
      <c r="J27" s="123" t="str">
        <f t="shared" si="5"/>
        <v>×
[P・Q]
×・○</v>
      </c>
      <c r="K27" s="123"/>
      <c r="L27" s="123"/>
      <c r="M27" s="123" t="str">
        <f t="shared" si="48"/>
        <v/>
      </c>
      <c r="N27" s="123" t="str">
        <f t="shared" si="47"/>
        <v/>
      </c>
      <c r="O27" s="123" t="str">
        <f t="shared" si="49"/>
        <v/>
      </c>
      <c r="P27" s="123" t="str">
        <f t="shared" si="7"/>
        <v/>
      </c>
      <c r="Q27" s="123" t="str">
        <f t="shared" si="8"/>
        <v/>
      </c>
      <c r="R27" s="76">
        <f t="shared" si="9"/>
        <v>0.66666666666666663</v>
      </c>
      <c r="S27" s="28">
        <v>5</v>
      </c>
      <c r="T27" s="4">
        <v>5</v>
      </c>
      <c r="U27" s="4">
        <v>5</v>
      </c>
      <c r="V27" s="4">
        <v>5</v>
      </c>
      <c r="W27" s="77">
        <f t="shared" si="10"/>
        <v>12.5</v>
      </c>
      <c r="X27" s="77">
        <f t="shared" si="11"/>
        <v>6.25</v>
      </c>
      <c r="Y27" s="77" cm="1">
        <f t="array" ref="Y27">_xlfn.IFS(R27&gt;=0.8,5,R27&gt;=0.6,3,R27&gt;=0.2,1,R27&lt;0.2,0)</f>
        <v>3</v>
      </c>
      <c r="Z27" s="55">
        <f t="shared" ref="Z27:Z31" si="50">SUM(S27:Y27)</f>
        <v>41.75</v>
      </c>
      <c r="AA27" s="5" t="s">
        <v>1077</v>
      </c>
      <c r="AB27" s="5" t="s">
        <v>1078</v>
      </c>
      <c r="AC27" s="191" t="s">
        <v>226</v>
      </c>
      <c r="AD27" s="5" t="s">
        <v>1079</v>
      </c>
      <c r="AE27" s="5"/>
      <c r="AF27" s="5" t="s">
        <v>1080</v>
      </c>
      <c r="AG27" s="310">
        <f>TaskEndDay!H77</f>
        <v>0.83333333333333337</v>
      </c>
      <c r="AH27" s="201">
        <f>IFERROR(AVERAGE(AY27,BI27,BS27,CC27,CM27,CW27,DG27,DQ27,EA27,EK27)," ")</f>
        <v>0.56691332294780572</v>
      </c>
      <c r="AI27" s="202">
        <f>IFERROR(AVERAGE(BB27,BL27,BV27,CF27,CP27,CZ27,DJ27,DT27,ED27,EN27)," ")</f>
        <v>23.025287071287362</v>
      </c>
      <c r="AJ27" s="80" t="str">
        <f t="shared" si="12"/>
        <v>LOW</v>
      </c>
      <c r="AK27" s="306" t="str">
        <f t="shared" si="13"/>
        <v>LOW</v>
      </c>
      <c r="AL27" s="5" t="s">
        <v>1081</v>
      </c>
      <c r="AM27" s="99" t="s">
        <v>1082</v>
      </c>
      <c r="AN27" s="128" t="str">
        <f>IF(AND(Z27&gt;Summary!$C$5, Z27&lt;=Summary!$D$5),Summary!$B$5,IF(AND(Z27&gt;Summary!$C$6, Z27&lt;=Summary!$D$6),Summary!$B$6,IF(AND(Z27&gt;Summary!$C$7, Z27&lt;=Summary!$D$7),Summary!$B$7,Summary!$B$8)))</f>
        <v>△</v>
      </c>
      <c r="AO27" s="14" t="s">
        <v>168</v>
      </c>
      <c r="AP27" s="14"/>
      <c r="AQ27" s="14"/>
      <c r="AR27" s="14"/>
      <c r="AS27" s="14" t="s">
        <v>168</v>
      </c>
      <c r="AT27" s="29" t="s">
        <v>1083</v>
      </c>
      <c r="AU27" s="80" t="s">
        <v>1084</v>
      </c>
      <c r="AV27" s="4" t="s">
        <v>168</v>
      </c>
      <c r="AW27" s="6">
        <v>23.2</v>
      </c>
      <c r="AX27" s="6">
        <v>36</v>
      </c>
      <c r="AY27" s="33">
        <f t="shared" si="17"/>
        <v>0.64444444444444438</v>
      </c>
      <c r="AZ27" s="42">
        <v>0.105</v>
      </c>
      <c r="BA27" s="3">
        <v>6</v>
      </c>
      <c r="BB27" s="37">
        <f t="shared" si="18"/>
        <v>57.142857142857146</v>
      </c>
      <c r="BC27" s="3" t="s">
        <v>1085</v>
      </c>
      <c r="BD27" s="3">
        <v>6</v>
      </c>
      <c r="BE27" s="80" t="s">
        <v>1086</v>
      </c>
      <c r="BF27" s="4"/>
      <c r="BG27" s="6">
        <v>19</v>
      </c>
      <c r="BH27" s="6">
        <v>39</v>
      </c>
      <c r="BI27" s="33">
        <f t="shared" si="19"/>
        <v>0.48717948717948717</v>
      </c>
      <c r="BJ27" s="42">
        <v>0.109</v>
      </c>
      <c r="BK27" s="3"/>
      <c r="BL27" s="37" t="str">
        <f t="shared" si="20"/>
        <v/>
      </c>
      <c r="BM27" s="3"/>
      <c r="BN27" s="3" t="s">
        <v>876</v>
      </c>
      <c r="BO27" s="80" t="s">
        <v>1087</v>
      </c>
      <c r="BP27" s="4" t="s">
        <v>168</v>
      </c>
      <c r="BQ27" s="6">
        <v>16</v>
      </c>
      <c r="BR27" s="6">
        <v>29</v>
      </c>
      <c r="BS27" s="33">
        <f t="shared" si="21"/>
        <v>0.55172413793103448</v>
      </c>
      <c r="BT27" s="42">
        <v>9.2999999999999999E-2</v>
      </c>
      <c r="BU27" s="3">
        <v>2</v>
      </c>
      <c r="BV27" s="37">
        <f t="shared" si="43"/>
        <v>21.50537634408602</v>
      </c>
      <c r="BW27" s="3">
        <v>2</v>
      </c>
      <c r="BX27" s="3">
        <v>2</v>
      </c>
      <c r="BY27" s="80" t="s">
        <v>1088</v>
      </c>
      <c r="BZ27" s="4" t="s">
        <v>168</v>
      </c>
      <c r="CA27" s="6">
        <v>11</v>
      </c>
      <c r="CB27" s="6">
        <v>35</v>
      </c>
      <c r="CC27" s="33">
        <f t="shared" si="22"/>
        <v>0.31428571428571428</v>
      </c>
      <c r="CD27" s="42">
        <v>0.223</v>
      </c>
      <c r="CE27" s="3">
        <v>3</v>
      </c>
      <c r="CF27" s="37">
        <f t="shared" si="23"/>
        <v>13.452914798206278</v>
      </c>
      <c r="CG27" s="3">
        <f>0</f>
        <v>0</v>
      </c>
      <c r="CH27" s="3">
        <f>0</f>
        <v>0</v>
      </c>
      <c r="CI27" s="80" t="s">
        <v>1089</v>
      </c>
      <c r="CJ27" s="4" t="s">
        <v>168</v>
      </c>
      <c r="CK27" s="6">
        <v>11</v>
      </c>
      <c r="CL27" s="6">
        <v>20</v>
      </c>
      <c r="CM27" s="33">
        <f t="shared" si="24"/>
        <v>0.55000000000000004</v>
      </c>
      <c r="CN27" s="42">
        <v>0.28299999999999997</v>
      </c>
      <c r="CO27" s="3">
        <f>0</f>
        <v>0</v>
      </c>
      <c r="CP27" s="37">
        <f t="shared" si="25"/>
        <v>0</v>
      </c>
      <c r="CQ27" s="3">
        <f>0</f>
        <v>0</v>
      </c>
      <c r="CR27" s="3">
        <f>0</f>
        <v>0</v>
      </c>
      <c r="CS27" s="80"/>
      <c r="CT27" s="4"/>
      <c r="CU27" s="6"/>
      <c r="CV27" s="6"/>
      <c r="CW27" s="33" t="str">
        <f t="shared" si="26"/>
        <v/>
      </c>
      <c r="CX27" s="42"/>
      <c r="CY27" s="3"/>
      <c r="CZ27" s="37" t="str">
        <f t="shared" si="27"/>
        <v/>
      </c>
      <c r="DA27" s="3"/>
      <c r="DB27" s="3"/>
      <c r="DC27" s="80"/>
      <c r="DD27" s="4"/>
      <c r="DE27" s="6"/>
      <c r="DF27" s="6"/>
      <c r="DG27" s="33" t="str">
        <f t="shared" si="28"/>
        <v/>
      </c>
      <c r="DH27" s="42"/>
      <c r="DI27" s="3"/>
      <c r="DJ27" s="37" t="str">
        <f t="shared" si="29"/>
        <v/>
      </c>
      <c r="DK27" s="3"/>
      <c r="DL27" s="3"/>
      <c r="DM27" s="80" t="s">
        <v>1090</v>
      </c>
      <c r="DN27" s="4"/>
      <c r="DO27" s="6">
        <v>11.1</v>
      </c>
      <c r="DP27" s="6">
        <v>13</v>
      </c>
      <c r="DQ27" s="33">
        <f t="shared" si="30"/>
        <v>0.85384615384615381</v>
      </c>
      <c r="DR27" s="42">
        <v>0.05</v>
      </c>
      <c r="DS27" s="3"/>
      <c r="DT27" s="37" t="str">
        <f t="shared" si="46"/>
        <v/>
      </c>
      <c r="DU27" s="3"/>
      <c r="DV27" s="3"/>
      <c r="DW27" s="80" t="s">
        <v>1091</v>
      </c>
      <c r="DX27" s="4"/>
      <c r="DY27" s="6">
        <v>11.1</v>
      </c>
      <c r="DZ27" s="6"/>
      <c r="EA27" s="33" t="str">
        <f t="shared" si="31"/>
        <v/>
      </c>
      <c r="EB27" s="42"/>
      <c r="EC27" s="3"/>
      <c r="ED27" s="37" t="str">
        <f t="shared" si="32"/>
        <v/>
      </c>
      <c r="EE27" s="3"/>
      <c r="EF27" s="3"/>
      <c r="EG27" s="80"/>
      <c r="EH27" s="4"/>
      <c r="EI27" s="6"/>
      <c r="EJ27" s="6"/>
      <c r="EK27" s="33" t="str">
        <f t="shared" si="33"/>
        <v/>
      </c>
      <c r="EL27" s="42"/>
      <c r="EM27" s="3"/>
      <c r="EN27" s="37" t="str">
        <f t="shared" si="34"/>
        <v/>
      </c>
      <c r="EO27" s="3"/>
      <c r="EP27" s="3"/>
      <c r="EQ27" s="80"/>
      <c r="ER27" s="4"/>
      <c r="ES27" s="6"/>
      <c r="ET27" s="6"/>
      <c r="EU27" s="33" t="str">
        <f t="shared" si="35"/>
        <v/>
      </c>
      <c r="EV27" s="42"/>
      <c r="EW27" s="3"/>
      <c r="EX27" s="37" t="str">
        <f t="shared" si="36"/>
        <v/>
      </c>
      <c r="EY27" s="3"/>
      <c r="EZ27" s="3"/>
      <c r="FA27" s="4"/>
      <c r="FB27" s="4"/>
      <c r="FC27" s="6"/>
      <c r="FD27" s="6"/>
      <c r="FE27" s="33" t="str">
        <f t="shared" si="37"/>
        <v/>
      </c>
      <c r="FF27" s="42"/>
      <c r="FG27" s="3"/>
      <c r="FH27" s="37" t="str">
        <f t="shared" si="38"/>
        <v/>
      </c>
      <c r="FI27" s="3"/>
      <c r="FJ27" s="3"/>
      <c r="FM27" s="54">
        <f t="shared" si="44"/>
        <v>0.86299999999999988</v>
      </c>
      <c r="FN27" s="54">
        <f t="shared" si="44"/>
        <v>11</v>
      </c>
      <c r="FO27" s="471">
        <f t="shared" si="39"/>
        <v>102.4</v>
      </c>
      <c r="FP27" s="471">
        <f t="shared" si="39"/>
        <v>172</v>
      </c>
    </row>
    <row r="28" spans="2:172" ht="264">
      <c r="B28" s="27" t="s">
        <v>1092</v>
      </c>
      <c r="C28" s="27" t="s">
        <v>1093</v>
      </c>
      <c r="D28" s="3" t="s">
        <v>313</v>
      </c>
      <c r="E28" s="4">
        <v>4</v>
      </c>
      <c r="F28" s="123" t="str">
        <f t="shared" si="1"/>
        <v>×
[P・Q]
×・○</v>
      </c>
      <c r="G28" s="123" t="str">
        <f t="shared" si="2"/>
        <v>×
[P・Q]
○・--</v>
      </c>
      <c r="H28" s="123" t="str">
        <f t="shared" si="3"/>
        <v>×
[P・Q]
○・--</v>
      </c>
      <c r="I28" s="123" t="str">
        <f t="shared" si="4"/>
        <v>×
[P・Q]
○・×</v>
      </c>
      <c r="J28" s="123" t="str">
        <f t="shared" si="5"/>
        <v/>
      </c>
      <c r="K28" s="123" t="str">
        <f>IF($E28&lt;K$9,"",IF(AND(CW28&gt;0.6,CZ28&lt;=8,DA28=DB28),"○","×")&amp;CHAR(10)&amp;"[P・Q]"&amp;CHAR(10)&amp;IF(CW28="","--",IF(CW28&gt;0.6,"○","×"))&amp;IF(DA28="","・--",IF(DA28&lt;=8,"・○","・×")))</f>
        <v/>
      </c>
      <c r="L28" s="123" t="str">
        <f>IF($E28&lt;L$9,"",IF(AND(DG28&gt;0.6,DJ28&lt;=8,DK28=DL28),"○","×")&amp;CHAR(10)&amp;"[P・Q]"&amp;CHAR(10)&amp;IF(DG28="","--",IF(DG28&gt;0.6,"○","×"))&amp;IF(DJ28="","・--",IF(DJ28&lt;=8,"・○","・×")))</f>
        <v/>
      </c>
      <c r="M28" s="123" t="str">
        <f t="shared" si="48"/>
        <v/>
      </c>
      <c r="N28" s="123" t="str">
        <f t="shared" si="47"/>
        <v/>
      </c>
      <c r="O28" s="123" t="str">
        <f t="shared" si="49"/>
        <v/>
      </c>
      <c r="P28" s="123" t="str">
        <f t="shared" si="7"/>
        <v/>
      </c>
      <c r="Q28" s="123" t="str">
        <f t="shared" si="8"/>
        <v/>
      </c>
      <c r="R28" s="76">
        <f t="shared" si="9"/>
        <v>1</v>
      </c>
      <c r="S28" s="28">
        <v>3</v>
      </c>
      <c r="T28" s="4">
        <v>3</v>
      </c>
      <c r="U28" s="4">
        <v>5</v>
      </c>
      <c r="V28" s="4">
        <v>3</v>
      </c>
      <c r="W28" s="77">
        <f t="shared" si="10"/>
        <v>28.125</v>
      </c>
      <c r="X28" s="77">
        <f t="shared" si="11"/>
        <v>9.375</v>
      </c>
      <c r="Y28" s="77" cm="1">
        <f t="array" ref="Y28">_xlfn.IFS(R28&gt;=0.8,5,R28&gt;=0.6,3,R28&gt;=0.2,1,R28&lt;0.2,0)</f>
        <v>5</v>
      </c>
      <c r="Z28" s="55">
        <f t="shared" si="50"/>
        <v>56.5</v>
      </c>
      <c r="AA28" s="5" t="s">
        <v>1094</v>
      </c>
      <c r="AB28" s="5" t="s">
        <v>1095</v>
      </c>
      <c r="AC28" s="186" t="s">
        <v>226</v>
      </c>
      <c r="AD28" s="5" t="s">
        <v>1096</v>
      </c>
      <c r="AE28" s="14" t="s">
        <v>168</v>
      </c>
      <c r="AF28" s="5" t="s">
        <v>1097</v>
      </c>
      <c r="AG28" s="310">
        <f>TaskEndDay!H78</f>
        <v>0.5</v>
      </c>
      <c r="AH28" s="201">
        <f>IFERROR(AVERAGE(AY28,BI28,BS28,CC28,CM28,CW28,DG28,DQ28,EA28,EK28)," ")</f>
        <v>0.72691895468359635</v>
      </c>
      <c r="AI28" s="202">
        <f>IFERROR(AVERAGE(BB28,BL28,BV28,CF28,CP28,CZ28,DJ28,DT28,ED28,EN28)," ")</f>
        <v>44.117647058823529</v>
      </c>
      <c r="AJ28" s="80" t="str">
        <f t="shared" si="12"/>
        <v>HIGH</v>
      </c>
      <c r="AK28" s="191" t="str">
        <f t="shared" si="13"/>
        <v>LOW</v>
      </c>
      <c r="AL28" s="314" t="s">
        <v>1098</v>
      </c>
      <c r="AM28" s="5" t="s">
        <v>1099</v>
      </c>
      <c r="AN28" s="128" t="str">
        <f>IF(AND(Z28&gt;Summary!$C$5, Z28&lt;=Summary!$D$5),Summary!$B$5,IF(AND(Z28&gt;Summary!$C$6, Z28&lt;=Summary!$D$6),Summary!$B$6,IF(AND(Z28&gt;Summary!$C$7, Z28&lt;=Summary!$D$7),Summary!$B$7,Summary!$B$8)))</f>
        <v>○</v>
      </c>
      <c r="AO28" s="14" t="s">
        <v>168</v>
      </c>
      <c r="AP28" s="14"/>
      <c r="AQ28" s="14"/>
      <c r="AR28" s="14"/>
      <c r="AS28" s="14" t="s">
        <v>168</v>
      </c>
      <c r="AT28" t="s">
        <v>1100</v>
      </c>
      <c r="AU28" s="80" t="s">
        <v>1101</v>
      </c>
      <c r="AV28" s="4" t="s">
        <v>168</v>
      </c>
      <c r="AW28" s="6">
        <v>23.3</v>
      </c>
      <c r="AX28" s="6">
        <v>57</v>
      </c>
      <c r="AY28" s="33">
        <f t="shared" si="17"/>
        <v>0.4087719298245614</v>
      </c>
      <c r="AZ28" s="42">
        <v>0.97099999999999997</v>
      </c>
      <c r="BA28" s="3">
        <v>0</v>
      </c>
      <c r="BB28" s="37">
        <f t="shared" si="18"/>
        <v>0</v>
      </c>
      <c r="BC28" s="3">
        <v>0</v>
      </c>
      <c r="BD28" s="3">
        <v>0</v>
      </c>
      <c r="BE28" s="80" t="s">
        <v>1102</v>
      </c>
      <c r="BF28" s="4" t="s">
        <v>168</v>
      </c>
      <c r="BG28" s="6">
        <v>51.9</v>
      </c>
      <c r="BH28" s="6">
        <v>56</v>
      </c>
      <c r="BI28" s="33">
        <f t="shared" si="19"/>
        <v>0.92678571428571421</v>
      </c>
      <c r="BJ28" s="42"/>
      <c r="BK28" s="3"/>
      <c r="BL28" s="37" t="str">
        <f t="shared" si="20"/>
        <v/>
      </c>
      <c r="BM28" s="3"/>
      <c r="BN28" s="3"/>
      <c r="BO28" s="80" t="s">
        <v>1103</v>
      </c>
      <c r="BP28" s="4" t="s">
        <v>168</v>
      </c>
      <c r="BQ28" s="6">
        <v>51.9</v>
      </c>
      <c r="BR28" s="6">
        <v>55.75</v>
      </c>
      <c r="BS28" s="33">
        <f t="shared" si="21"/>
        <v>0.9309417040358744</v>
      </c>
      <c r="BT28" s="42"/>
      <c r="BU28" s="3"/>
      <c r="BV28" s="37" t="str">
        <f t="shared" si="43"/>
        <v/>
      </c>
      <c r="BW28" s="3"/>
      <c r="BX28" s="3"/>
      <c r="BY28" s="80" t="s">
        <v>1104</v>
      </c>
      <c r="BZ28" s="4" t="s">
        <v>168</v>
      </c>
      <c r="CA28" s="6">
        <v>10.9</v>
      </c>
      <c r="CB28" s="6">
        <v>17</v>
      </c>
      <c r="CC28" s="33">
        <f t="shared" si="22"/>
        <v>0.64117647058823535</v>
      </c>
      <c r="CD28" s="42">
        <v>3.4000000000000002E-2</v>
      </c>
      <c r="CE28" s="3">
        <v>3</v>
      </c>
      <c r="CF28" s="37">
        <f t="shared" si="23"/>
        <v>88.235294117647058</v>
      </c>
      <c r="CG28" s="3">
        <v>3</v>
      </c>
      <c r="CH28" s="3">
        <v>3</v>
      </c>
      <c r="CI28" s="80"/>
      <c r="CJ28" s="4"/>
      <c r="CK28" s="6"/>
      <c r="CL28" s="6"/>
      <c r="CM28" s="33" t="str">
        <f t="shared" si="24"/>
        <v/>
      </c>
      <c r="CN28" s="42"/>
      <c r="CO28" s="3"/>
      <c r="CP28" s="37" t="str">
        <f t="shared" si="25"/>
        <v/>
      </c>
      <c r="CQ28" s="3"/>
      <c r="CR28" s="3"/>
      <c r="CS28" s="80"/>
      <c r="CT28" s="4"/>
      <c r="CU28" s="6"/>
      <c r="CV28" s="6"/>
      <c r="CW28" s="33" t="str">
        <f t="shared" si="26"/>
        <v/>
      </c>
      <c r="CX28" s="42"/>
      <c r="CY28" s="3"/>
      <c r="CZ28" s="37" t="str">
        <f t="shared" si="27"/>
        <v/>
      </c>
      <c r="DA28" s="3"/>
      <c r="DB28" s="3"/>
      <c r="DC28" s="80"/>
      <c r="DD28" s="4"/>
      <c r="DE28" s="6"/>
      <c r="DF28" s="6"/>
      <c r="DG28" s="33" t="str">
        <f t="shared" si="28"/>
        <v/>
      </c>
      <c r="DH28" s="42"/>
      <c r="DI28" s="3"/>
      <c r="DJ28" s="37" t="str">
        <f t="shared" si="29"/>
        <v/>
      </c>
      <c r="DK28" s="3"/>
      <c r="DL28" s="3"/>
      <c r="DM28" s="80"/>
      <c r="DN28" s="4"/>
      <c r="DO28" s="6"/>
      <c r="DP28" s="6"/>
      <c r="DQ28" s="33" t="str">
        <f t="shared" si="30"/>
        <v/>
      </c>
      <c r="DR28" s="42"/>
      <c r="DS28" s="3"/>
      <c r="DT28" s="37" t="str">
        <f t="shared" si="46"/>
        <v/>
      </c>
      <c r="DU28" s="3"/>
      <c r="DV28" s="3"/>
      <c r="DW28" s="80"/>
      <c r="DX28" s="4"/>
      <c r="DY28" s="6"/>
      <c r="DZ28" s="6"/>
      <c r="EA28" s="33" t="str">
        <f t="shared" si="31"/>
        <v/>
      </c>
      <c r="EB28" s="42"/>
      <c r="EC28" s="3"/>
      <c r="ED28" s="37" t="str">
        <f t="shared" si="32"/>
        <v/>
      </c>
      <c r="EE28" s="3"/>
      <c r="EF28" s="3"/>
      <c r="EG28" s="80"/>
      <c r="EH28" s="4"/>
      <c r="EI28" s="6"/>
      <c r="EJ28" s="6"/>
      <c r="EK28" s="33" t="str">
        <f t="shared" si="33"/>
        <v/>
      </c>
      <c r="EL28" s="42"/>
      <c r="EM28" s="3"/>
      <c r="EN28" s="37" t="str">
        <f t="shared" si="34"/>
        <v/>
      </c>
      <c r="EO28" s="3"/>
      <c r="EP28" s="3"/>
      <c r="EQ28" s="80"/>
      <c r="ER28" s="4"/>
      <c r="ES28" s="6"/>
      <c r="ET28" s="6"/>
      <c r="EU28" s="33" t="str">
        <f t="shared" si="35"/>
        <v/>
      </c>
      <c r="EV28" s="42"/>
      <c r="EW28" s="3"/>
      <c r="EX28" s="37" t="str">
        <f t="shared" si="36"/>
        <v/>
      </c>
      <c r="EY28" s="3"/>
      <c r="EZ28" s="3"/>
      <c r="FA28" s="4"/>
      <c r="FB28" s="4"/>
      <c r="FC28" s="6"/>
      <c r="FD28" s="6"/>
      <c r="FE28" s="33" t="str">
        <f t="shared" si="37"/>
        <v/>
      </c>
      <c r="FF28" s="42"/>
      <c r="FG28" s="3"/>
      <c r="FH28" s="37" t="str">
        <f t="shared" si="38"/>
        <v/>
      </c>
      <c r="FI28" s="3"/>
      <c r="FJ28" s="3"/>
      <c r="FM28" s="54">
        <f t="shared" si="44"/>
        <v>1.0049999999999999</v>
      </c>
      <c r="FN28" s="54">
        <f t="shared" si="44"/>
        <v>3</v>
      </c>
      <c r="FO28" s="471">
        <f t="shared" si="39"/>
        <v>138</v>
      </c>
      <c r="FP28" s="471">
        <f t="shared" si="39"/>
        <v>185.75</v>
      </c>
    </row>
    <row r="29" spans="2:172" ht="42" hidden="1" customHeight="1">
      <c r="B29" s="3"/>
      <c r="C29" s="3"/>
      <c r="D29" s="3"/>
      <c r="E29" s="4"/>
      <c r="F29" s="123" t="str">
        <f t="shared" si="1"/>
        <v/>
      </c>
      <c r="G29" s="123" t="str">
        <f t="shared" si="2"/>
        <v/>
      </c>
      <c r="H29" s="123" t="str">
        <f t="shared" si="3"/>
        <v/>
      </c>
      <c r="I29" s="123" t="str">
        <f t="shared" si="4"/>
        <v/>
      </c>
      <c r="J29" s="123" t="str">
        <f t="shared" si="5"/>
        <v/>
      </c>
      <c r="K29" s="123" t="str">
        <f>IF($E29&lt;K$9,"",IF(AND(CW29&gt;0.6,CZ29&lt;=8,DA29=DB29),"○","×")&amp;CHAR(10)&amp;"[P・Q]"&amp;CHAR(10)&amp;IF(CW29="","--",IF(CW29&gt;0.6,"○","×"))&amp;IF(DA29="","・--",IF(DA29&lt;=8,"・○","・×")))</f>
        <v/>
      </c>
      <c r="L29" s="123" t="str">
        <f>IF($E29&lt;L$9,"",IF(AND(DG29&gt;0.6,DJ29&lt;=8,DK29=DL29),"○","×")&amp;CHAR(10)&amp;"[P・Q]"&amp;CHAR(10)&amp;IF(DG29="","--",IF(DG29&gt;0.6,"○","×"))&amp;IF(DJ29="","・--",IF(DJ29&lt;=8,"・○","・×")))</f>
        <v/>
      </c>
      <c r="M29" s="123" t="str">
        <f t="shared" si="48"/>
        <v/>
      </c>
      <c r="N29" s="123" t="str">
        <f t="shared" si="47"/>
        <v/>
      </c>
      <c r="O29" s="123" t="str">
        <f t="shared" si="49"/>
        <v/>
      </c>
      <c r="P29" s="123" t="str">
        <f t="shared" si="7"/>
        <v/>
      </c>
      <c r="Q29" s="123" t="str">
        <f t="shared" si="8"/>
        <v/>
      </c>
      <c r="R29" s="76" t="e">
        <f t="shared" si="9"/>
        <v>#DIV/0!</v>
      </c>
      <c r="S29" s="4"/>
      <c r="T29" s="4"/>
      <c r="U29" s="4"/>
      <c r="V29" s="4"/>
      <c r="W29" s="77" t="e">
        <f t="shared" si="10"/>
        <v>#DIV/0!</v>
      </c>
      <c r="X29" s="77" t="e">
        <f t="shared" si="11"/>
        <v>#DIV/0!</v>
      </c>
      <c r="Y29" s="77" t="e" cm="1">
        <f t="array" ref="Y29">_xlfn.IFS(R29&gt;=0.8,5,R29&gt;=0.6,3,R29&gt;=0.2,1,R29&lt;0.2,0)</f>
        <v>#DIV/0!</v>
      </c>
      <c r="Z29" s="55" t="e">
        <f t="shared" si="50"/>
        <v>#DIV/0!</v>
      </c>
      <c r="AA29" s="5"/>
      <c r="AB29" s="5"/>
      <c r="AC29" s="5"/>
      <c r="AD29" s="130"/>
      <c r="AE29" s="5"/>
      <c r="AF29" s="5"/>
      <c r="AG29" s="5"/>
      <c r="AH29" s="5"/>
      <c r="AI29" s="5"/>
      <c r="AJ29" s="5"/>
      <c r="AK29" s="5"/>
      <c r="AL29" s="130"/>
      <c r="AM29" s="130"/>
      <c r="AN29" s="126"/>
      <c r="AO29" s="14"/>
      <c r="AP29" s="14"/>
      <c r="AQ29" s="14"/>
      <c r="AR29" s="14"/>
      <c r="AS29" s="14"/>
      <c r="AT29" s="29"/>
      <c r="AU29" s="80"/>
      <c r="AV29" s="4"/>
      <c r="AW29" s="6"/>
      <c r="AX29" s="6"/>
      <c r="AY29" s="33" t="str">
        <f t="shared" si="17"/>
        <v/>
      </c>
      <c r="AZ29" s="42"/>
      <c r="BA29" s="3"/>
      <c r="BB29" s="37" t="str">
        <f t="shared" si="18"/>
        <v/>
      </c>
      <c r="BC29" s="3"/>
      <c r="BD29" s="3"/>
      <c r="BE29" s="80"/>
      <c r="BF29" s="4"/>
      <c r="BG29" s="6"/>
      <c r="BH29" s="6"/>
      <c r="BI29" s="33" t="str">
        <f t="shared" si="19"/>
        <v/>
      </c>
      <c r="BJ29" s="42"/>
      <c r="BK29" s="3"/>
      <c r="BL29" s="37" t="str">
        <f t="shared" si="20"/>
        <v/>
      </c>
      <c r="BM29" s="3"/>
      <c r="BN29" s="3"/>
      <c r="BO29" s="80"/>
      <c r="BP29" s="4"/>
      <c r="BQ29" s="6"/>
      <c r="BR29" s="6"/>
      <c r="BS29" s="33" t="str">
        <f t="shared" si="21"/>
        <v/>
      </c>
      <c r="BT29" s="42"/>
      <c r="BU29" s="3"/>
      <c r="BV29" s="37" t="str">
        <f t="shared" si="43"/>
        <v/>
      </c>
      <c r="BW29" s="3"/>
      <c r="BX29" s="3"/>
      <c r="BY29" s="80"/>
      <c r="BZ29" s="4"/>
      <c r="CA29" s="6"/>
      <c r="CB29" s="6"/>
      <c r="CC29" s="33" t="str">
        <f t="shared" si="22"/>
        <v/>
      </c>
      <c r="CD29" s="42"/>
      <c r="CE29" s="3"/>
      <c r="CF29" s="37" t="str">
        <f t="shared" si="23"/>
        <v/>
      </c>
      <c r="CG29" s="3"/>
      <c r="CH29" s="3"/>
      <c r="CI29" s="80"/>
      <c r="CJ29" s="4"/>
      <c r="CK29" s="6"/>
      <c r="CL29" s="6"/>
      <c r="CM29" s="33" t="str">
        <f t="shared" si="24"/>
        <v/>
      </c>
      <c r="CN29" s="42"/>
      <c r="CO29" s="3"/>
      <c r="CP29" s="37" t="str">
        <f t="shared" si="25"/>
        <v/>
      </c>
      <c r="CQ29" s="3"/>
      <c r="CR29" s="3"/>
      <c r="CS29" s="80"/>
      <c r="CT29" s="4"/>
      <c r="CU29" s="6"/>
      <c r="CV29" s="6"/>
      <c r="CW29" s="33" t="str">
        <f t="shared" si="26"/>
        <v/>
      </c>
      <c r="CX29" s="42"/>
      <c r="CY29" s="3"/>
      <c r="CZ29" s="37" t="str">
        <f t="shared" si="27"/>
        <v/>
      </c>
      <c r="DA29" s="3"/>
      <c r="DB29" s="3"/>
      <c r="DC29" s="4"/>
      <c r="DD29" s="4"/>
      <c r="DE29" s="6"/>
      <c r="DF29" s="6"/>
      <c r="DG29" s="33" t="str">
        <f t="shared" si="28"/>
        <v/>
      </c>
      <c r="DH29" s="42"/>
      <c r="DI29" s="3"/>
      <c r="DJ29" s="37" t="str">
        <f t="shared" si="29"/>
        <v/>
      </c>
      <c r="DK29" s="3"/>
      <c r="DL29" s="3"/>
      <c r="DM29" s="80"/>
      <c r="DN29" s="4"/>
      <c r="DO29" s="6"/>
      <c r="DP29" s="6"/>
      <c r="DQ29" s="33" t="str">
        <f t="shared" si="30"/>
        <v/>
      </c>
      <c r="DR29" s="42"/>
      <c r="DS29" s="3"/>
      <c r="DT29" s="37" t="str">
        <f t="shared" ref="DT29:DT31" si="51">IF(DS29="","",DS29/DR29)</f>
        <v/>
      </c>
      <c r="DU29" s="3"/>
      <c r="DV29" s="3"/>
      <c r="DW29" s="80"/>
      <c r="DX29" s="4"/>
      <c r="DY29" s="6"/>
      <c r="DZ29" s="6"/>
      <c r="EA29" s="33" t="str">
        <f t="shared" si="31"/>
        <v/>
      </c>
      <c r="EB29" s="42"/>
      <c r="EC29" s="3"/>
      <c r="ED29" s="37" t="str">
        <f t="shared" si="32"/>
        <v/>
      </c>
      <c r="EE29" s="3"/>
      <c r="EF29" s="3"/>
      <c r="EG29" s="80"/>
      <c r="EH29" s="4"/>
      <c r="EI29" s="6"/>
      <c r="EJ29" s="6"/>
      <c r="EK29" s="33" t="str">
        <f t="shared" si="33"/>
        <v/>
      </c>
      <c r="EL29" s="42"/>
      <c r="EM29" s="3"/>
      <c r="EN29" s="37" t="str">
        <f t="shared" si="34"/>
        <v/>
      </c>
      <c r="EO29" s="3"/>
      <c r="EP29" s="3"/>
      <c r="EQ29" s="80"/>
      <c r="ER29" s="4"/>
      <c r="ES29" s="6"/>
      <c r="ET29" s="6"/>
      <c r="EU29" s="33" t="str">
        <f t="shared" si="35"/>
        <v/>
      </c>
      <c r="EV29" s="42"/>
      <c r="EW29" s="3"/>
      <c r="EX29" s="37" t="str">
        <f t="shared" si="36"/>
        <v/>
      </c>
      <c r="EY29" s="3"/>
      <c r="EZ29" s="3"/>
      <c r="FA29" s="4"/>
      <c r="FB29" s="4"/>
      <c r="FC29" s="6"/>
      <c r="FD29" s="6"/>
      <c r="FE29" s="33" t="str">
        <f t="shared" si="37"/>
        <v/>
      </c>
      <c r="FF29" s="42"/>
      <c r="FG29" s="3"/>
      <c r="FH29" s="37" t="str">
        <f t="shared" si="38"/>
        <v/>
      </c>
      <c r="FI29" s="3"/>
      <c r="FJ29" s="3"/>
      <c r="FM29" s="54">
        <f t="shared" si="44"/>
        <v>0</v>
      </c>
      <c r="FN29" s="54">
        <f t="shared" si="44"/>
        <v>0</v>
      </c>
      <c r="FO29" s="471">
        <f t="shared" si="39"/>
        <v>0</v>
      </c>
      <c r="FP29" s="471">
        <f t="shared" si="39"/>
        <v>0</v>
      </c>
    </row>
    <row r="30" spans="2:172" ht="42" hidden="1" customHeight="1">
      <c r="B30" s="3"/>
      <c r="C30" s="3"/>
      <c r="D30" s="3"/>
      <c r="E30" s="4"/>
      <c r="F30" s="123" t="str">
        <f t="shared" si="1"/>
        <v/>
      </c>
      <c r="G30" s="123" t="str">
        <f t="shared" si="2"/>
        <v/>
      </c>
      <c r="H30" s="123" t="str">
        <f t="shared" si="3"/>
        <v/>
      </c>
      <c r="I30" s="123" t="str">
        <f t="shared" si="4"/>
        <v/>
      </c>
      <c r="J30" s="123" t="str">
        <f t="shared" si="5"/>
        <v/>
      </c>
      <c r="K30" s="123" t="str">
        <f>IF($E30&lt;K$9,"",IF(AND(CW30&gt;0.6,CZ30&lt;=8,DA30=DB30),"○","×")&amp;CHAR(10)&amp;"[P・Q]"&amp;CHAR(10)&amp;IF(CW30="","--",IF(CW30&gt;0.6,"○","×"))&amp;IF(DA30="","・--",IF(DA30&lt;=8,"・○","・×")))</f>
        <v/>
      </c>
      <c r="L30" s="123" t="str">
        <f>IF($E30&lt;L$9,"",IF(AND(DG30&gt;0.6,DJ30&lt;=8,DK30=DL30),"○","×")&amp;CHAR(10)&amp;"[P・Q]"&amp;CHAR(10)&amp;IF(DG30="","--",IF(DG30&gt;0.6,"○","×"))&amp;IF(DJ30="","・--",IF(DJ30&lt;=8,"・○","・×")))</f>
        <v/>
      </c>
      <c r="M30" s="123" t="str">
        <f t="shared" si="48"/>
        <v/>
      </c>
      <c r="N30" s="123" t="str">
        <f t="shared" si="47"/>
        <v/>
      </c>
      <c r="O30" s="123" t="str">
        <f t="shared" si="49"/>
        <v/>
      </c>
      <c r="P30" s="123" t="str">
        <f t="shared" si="7"/>
        <v/>
      </c>
      <c r="Q30" s="123" t="str">
        <f t="shared" si="8"/>
        <v/>
      </c>
      <c r="R30" s="76" t="e">
        <f t="shared" si="9"/>
        <v>#DIV/0!</v>
      </c>
      <c r="S30" s="4"/>
      <c r="T30" s="4"/>
      <c r="U30" s="4"/>
      <c r="V30" s="4"/>
      <c r="W30" s="77" t="e">
        <f t="shared" si="10"/>
        <v>#DIV/0!</v>
      </c>
      <c r="X30" s="77" t="e">
        <f t="shared" si="11"/>
        <v>#DIV/0!</v>
      </c>
      <c r="Y30" s="77" t="e" cm="1">
        <f t="array" ref="Y30">_xlfn.IFS(R30&gt;=0.8,5,R30&gt;=0.6,3,R30&gt;=0.2,1,R30&lt;0.2,0)</f>
        <v>#DIV/0!</v>
      </c>
      <c r="Z30" s="55" t="e">
        <f t="shared" si="50"/>
        <v>#DIV/0!</v>
      </c>
      <c r="AA30" s="5"/>
      <c r="AB30" s="5"/>
      <c r="AC30" s="5"/>
      <c r="AD30" s="5"/>
      <c r="AE30" s="5"/>
      <c r="AF30" s="5"/>
      <c r="AG30" s="5"/>
      <c r="AH30" s="5"/>
      <c r="AI30" s="5"/>
      <c r="AJ30" s="5"/>
      <c r="AK30" s="5"/>
      <c r="AL30" s="5"/>
      <c r="AM30" s="5"/>
      <c r="AN30" s="126"/>
      <c r="AO30" s="14"/>
      <c r="AP30" s="14"/>
      <c r="AQ30" s="14"/>
      <c r="AR30" s="14"/>
      <c r="AS30" s="14"/>
      <c r="AT30" s="29"/>
      <c r="AU30" s="80"/>
      <c r="AV30" s="4"/>
      <c r="AW30" s="6"/>
      <c r="AX30" s="6"/>
      <c r="AY30" s="33" t="str">
        <f t="shared" si="17"/>
        <v/>
      </c>
      <c r="AZ30" s="42"/>
      <c r="BA30" s="3"/>
      <c r="BB30" s="37" t="str">
        <f t="shared" si="18"/>
        <v/>
      </c>
      <c r="BC30" s="3"/>
      <c r="BD30" s="3"/>
      <c r="BE30" s="80"/>
      <c r="BF30" s="4"/>
      <c r="BG30" s="6"/>
      <c r="BH30" s="6"/>
      <c r="BI30" s="33" t="str">
        <f t="shared" si="19"/>
        <v/>
      </c>
      <c r="BJ30" s="42"/>
      <c r="BK30" s="3"/>
      <c r="BL30" s="37" t="str">
        <f t="shared" si="20"/>
        <v/>
      </c>
      <c r="BM30" s="3"/>
      <c r="BN30" s="3"/>
      <c r="BO30" s="80"/>
      <c r="BP30" s="4"/>
      <c r="BQ30" s="6"/>
      <c r="BR30" s="6"/>
      <c r="BS30" s="33" t="str">
        <f t="shared" si="21"/>
        <v/>
      </c>
      <c r="BT30" s="42"/>
      <c r="BU30" s="3"/>
      <c r="BV30" s="37" t="str">
        <f t="shared" si="43"/>
        <v/>
      </c>
      <c r="BW30" s="3"/>
      <c r="BX30" s="3"/>
      <c r="BY30" s="80"/>
      <c r="BZ30" s="4"/>
      <c r="CA30" s="6"/>
      <c r="CB30" s="6"/>
      <c r="CC30" s="33" t="str">
        <f t="shared" si="22"/>
        <v/>
      </c>
      <c r="CD30" s="42"/>
      <c r="CE30" s="3"/>
      <c r="CF30" s="37" t="str">
        <f t="shared" si="23"/>
        <v/>
      </c>
      <c r="CG30" s="3"/>
      <c r="CH30" s="3"/>
      <c r="CI30" s="80"/>
      <c r="CJ30" s="4"/>
      <c r="CK30" s="6"/>
      <c r="CL30" s="6"/>
      <c r="CM30" s="33" t="str">
        <f t="shared" si="24"/>
        <v/>
      </c>
      <c r="CN30" s="42"/>
      <c r="CO30" s="3"/>
      <c r="CP30" s="37" t="str">
        <f t="shared" si="25"/>
        <v/>
      </c>
      <c r="CQ30" s="3"/>
      <c r="CR30" s="3"/>
      <c r="CS30" s="80"/>
      <c r="CT30" s="4"/>
      <c r="CU30" s="6"/>
      <c r="CV30" s="6"/>
      <c r="CW30" s="33" t="str">
        <f t="shared" si="26"/>
        <v/>
      </c>
      <c r="CX30" s="42"/>
      <c r="CY30" s="3"/>
      <c r="CZ30" s="37" t="str">
        <f t="shared" si="27"/>
        <v/>
      </c>
      <c r="DA30" s="3"/>
      <c r="DB30" s="3"/>
      <c r="DC30" s="4"/>
      <c r="DD30" s="4"/>
      <c r="DE30" s="6"/>
      <c r="DF30" s="6"/>
      <c r="DG30" s="33" t="str">
        <f t="shared" si="28"/>
        <v/>
      </c>
      <c r="DH30" s="42"/>
      <c r="DI30" s="3"/>
      <c r="DJ30" s="37" t="str">
        <f t="shared" si="29"/>
        <v/>
      </c>
      <c r="DK30" s="3"/>
      <c r="DL30" s="3"/>
      <c r="DM30" s="4"/>
      <c r="DN30" s="4"/>
      <c r="DO30" s="6"/>
      <c r="DP30" s="6"/>
      <c r="DQ30" s="33" t="str">
        <f t="shared" si="30"/>
        <v/>
      </c>
      <c r="DR30" s="42"/>
      <c r="DS30" s="3"/>
      <c r="DT30" s="37" t="str">
        <f t="shared" si="51"/>
        <v/>
      </c>
      <c r="DU30" s="3"/>
      <c r="DV30" s="3"/>
      <c r="DW30" s="80"/>
      <c r="DX30" s="4"/>
      <c r="DY30" s="6"/>
      <c r="DZ30" s="6"/>
      <c r="EA30" s="33" t="str">
        <f t="shared" si="31"/>
        <v/>
      </c>
      <c r="EB30" s="42"/>
      <c r="EC30" s="3"/>
      <c r="ED30" s="37" t="str">
        <f t="shared" si="32"/>
        <v/>
      </c>
      <c r="EE30" s="3"/>
      <c r="EF30" s="3"/>
      <c r="EG30" s="80"/>
      <c r="EH30" s="4"/>
      <c r="EI30" s="6"/>
      <c r="EJ30" s="6"/>
      <c r="EK30" s="33" t="str">
        <f t="shared" si="33"/>
        <v/>
      </c>
      <c r="EL30" s="42"/>
      <c r="EM30" s="3"/>
      <c r="EN30" s="37" t="str">
        <f t="shared" si="34"/>
        <v/>
      </c>
      <c r="EO30" s="3"/>
      <c r="EP30" s="3"/>
      <c r="EQ30" s="80"/>
      <c r="ER30" s="4"/>
      <c r="ES30" s="6"/>
      <c r="ET30" s="6"/>
      <c r="EU30" s="33" t="str">
        <f t="shared" si="35"/>
        <v/>
      </c>
      <c r="EV30" s="42"/>
      <c r="EW30" s="3"/>
      <c r="EX30" s="37" t="str">
        <f t="shared" si="36"/>
        <v/>
      </c>
      <c r="EY30" s="3"/>
      <c r="EZ30" s="3"/>
      <c r="FA30" s="4"/>
      <c r="FB30" s="4"/>
      <c r="FC30" s="6"/>
      <c r="FD30" s="6"/>
      <c r="FE30" s="33" t="str">
        <f t="shared" si="37"/>
        <v/>
      </c>
      <c r="FF30" s="42"/>
      <c r="FG30" s="3"/>
      <c r="FH30" s="37" t="str">
        <f t="shared" si="38"/>
        <v/>
      </c>
      <c r="FI30" s="3"/>
      <c r="FJ30" s="3"/>
      <c r="FM30" s="54">
        <f t="shared" si="44"/>
        <v>0</v>
      </c>
      <c r="FN30" s="54">
        <f t="shared" si="44"/>
        <v>0</v>
      </c>
      <c r="FO30" s="471">
        <f t="shared" si="39"/>
        <v>0</v>
      </c>
      <c r="FP30" s="471">
        <f t="shared" si="39"/>
        <v>0</v>
      </c>
    </row>
    <row r="31" spans="2:172" ht="42" hidden="1" customHeight="1">
      <c r="B31" s="3"/>
      <c r="C31" s="3"/>
      <c r="D31" s="3"/>
      <c r="E31" s="4"/>
      <c r="F31" s="123" t="str">
        <f t="shared" si="1"/>
        <v/>
      </c>
      <c r="G31" s="123" t="str">
        <f t="shared" si="2"/>
        <v/>
      </c>
      <c r="H31" s="123" t="str">
        <f t="shared" si="3"/>
        <v/>
      </c>
      <c r="I31" s="123" t="str">
        <f t="shared" si="4"/>
        <v/>
      </c>
      <c r="J31" s="123" t="str">
        <f t="shared" si="5"/>
        <v/>
      </c>
      <c r="K31" s="123" t="str">
        <f>IF($E31&lt;K$9,"",IF(AND(CW31&gt;0.6,CZ31&lt;=8,DA31=DB31),"○","×")&amp;CHAR(10)&amp;"[P・Q]"&amp;CHAR(10)&amp;IF(CW31="","--",IF(CW31&gt;0.6,"○","×"))&amp;IF(DA31="","・--",IF(DA31&lt;=8,"・○","・×")))</f>
        <v/>
      </c>
      <c r="L31" s="123" t="str">
        <f>IF($E31&lt;L$9,"",IF(AND(DG31&gt;0.6,DJ31&lt;=8,DK31=DL31),"○","×")&amp;CHAR(10)&amp;"[P・Q]"&amp;CHAR(10)&amp;IF(DG31="","--",IF(DG31&gt;0.6,"○","×"))&amp;IF(DJ31="","・--",IF(DJ31&lt;=8,"・○","・×")))</f>
        <v/>
      </c>
      <c r="M31" s="123" t="str">
        <f t="shared" si="48"/>
        <v/>
      </c>
      <c r="N31" s="123" t="str">
        <f t="shared" si="47"/>
        <v/>
      </c>
      <c r="O31" s="123" t="str">
        <f t="shared" si="49"/>
        <v/>
      </c>
      <c r="P31" s="123" t="str">
        <f t="shared" si="7"/>
        <v/>
      </c>
      <c r="Q31" s="123" t="str">
        <f t="shared" si="8"/>
        <v/>
      </c>
      <c r="R31" s="76" t="e">
        <f t="shared" si="9"/>
        <v>#DIV/0!</v>
      </c>
      <c r="S31" s="4"/>
      <c r="T31" s="4"/>
      <c r="U31" s="4"/>
      <c r="V31" s="4"/>
      <c r="W31" s="77" t="e">
        <f t="shared" si="10"/>
        <v>#DIV/0!</v>
      </c>
      <c r="X31" s="77" t="e">
        <f t="shared" si="11"/>
        <v>#DIV/0!</v>
      </c>
      <c r="Y31" s="77" t="e" cm="1">
        <f t="array" ref="Y31">_xlfn.IFS(R31&gt;=0.8,5,R31&gt;=0.6,3,R31&gt;=0.2,1,R31&lt;0.2,0)</f>
        <v>#DIV/0!</v>
      </c>
      <c r="Z31" s="55" t="e">
        <f t="shared" si="50"/>
        <v>#DIV/0!</v>
      </c>
      <c r="AA31" s="5"/>
      <c r="AB31" s="5"/>
      <c r="AC31" s="5"/>
      <c r="AD31" s="5"/>
      <c r="AE31" s="5"/>
      <c r="AF31" s="5"/>
      <c r="AG31" s="5"/>
      <c r="AH31" s="5"/>
      <c r="AI31" s="5"/>
      <c r="AJ31" s="5"/>
      <c r="AK31" s="5"/>
      <c r="AL31" s="5"/>
      <c r="AM31" s="5"/>
      <c r="AN31" s="126"/>
      <c r="AO31" s="14"/>
      <c r="AP31" s="14"/>
      <c r="AQ31" s="14"/>
      <c r="AR31" s="14"/>
      <c r="AS31" s="14"/>
      <c r="AT31" s="29"/>
      <c r="AU31" s="80"/>
      <c r="AV31" s="4"/>
      <c r="AW31" s="6"/>
      <c r="AX31" s="6"/>
      <c r="AY31" s="33" t="str">
        <f t="shared" si="17"/>
        <v/>
      </c>
      <c r="AZ31" s="42"/>
      <c r="BA31" s="3"/>
      <c r="BB31" s="37" t="str">
        <f t="shared" si="18"/>
        <v/>
      </c>
      <c r="BC31" s="3"/>
      <c r="BD31" s="3"/>
      <c r="BE31" s="80"/>
      <c r="BF31" s="4"/>
      <c r="BG31" s="6"/>
      <c r="BH31" s="6"/>
      <c r="BI31" s="33" t="str">
        <f t="shared" si="19"/>
        <v/>
      </c>
      <c r="BJ31" s="42"/>
      <c r="BK31" s="3"/>
      <c r="BL31" s="37" t="str">
        <f t="shared" si="20"/>
        <v/>
      </c>
      <c r="BM31" s="3"/>
      <c r="BN31" s="3"/>
      <c r="BO31" s="80"/>
      <c r="BP31" s="4"/>
      <c r="BQ31" s="6"/>
      <c r="BR31" s="6"/>
      <c r="BS31" s="33" t="str">
        <f t="shared" si="21"/>
        <v/>
      </c>
      <c r="BT31" s="42"/>
      <c r="BU31" s="3"/>
      <c r="BV31" s="37" t="str">
        <f t="shared" si="43"/>
        <v/>
      </c>
      <c r="BW31" s="3"/>
      <c r="BX31" s="3"/>
      <c r="BY31" s="80"/>
      <c r="BZ31" s="4"/>
      <c r="CA31" s="6"/>
      <c r="CB31" s="6"/>
      <c r="CC31" s="33" t="str">
        <f t="shared" si="22"/>
        <v/>
      </c>
      <c r="CD31" s="42"/>
      <c r="CE31" s="3"/>
      <c r="CF31" s="37" t="str">
        <f t="shared" si="23"/>
        <v/>
      </c>
      <c r="CG31" s="3"/>
      <c r="CH31" s="3"/>
      <c r="CI31" s="80"/>
      <c r="CJ31" s="4"/>
      <c r="CK31" s="6"/>
      <c r="CL31" s="6"/>
      <c r="CM31" s="33" t="str">
        <f t="shared" si="24"/>
        <v/>
      </c>
      <c r="CN31" s="42"/>
      <c r="CO31" s="3"/>
      <c r="CP31" s="37" t="str">
        <f t="shared" si="25"/>
        <v/>
      </c>
      <c r="CQ31" s="3"/>
      <c r="CR31" s="3"/>
      <c r="CS31" s="80"/>
      <c r="CT31" s="4"/>
      <c r="CU31" s="6"/>
      <c r="CV31" s="6"/>
      <c r="CW31" s="33" t="str">
        <f t="shared" si="26"/>
        <v/>
      </c>
      <c r="CX31" s="42"/>
      <c r="CY31" s="3"/>
      <c r="CZ31" s="37" t="str">
        <f t="shared" si="27"/>
        <v/>
      </c>
      <c r="DA31" s="3"/>
      <c r="DB31" s="3"/>
      <c r="DC31" s="4"/>
      <c r="DD31" s="4"/>
      <c r="DE31" s="6"/>
      <c r="DF31" s="6"/>
      <c r="DG31" s="33" t="str">
        <f t="shared" si="28"/>
        <v/>
      </c>
      <c r="DH31" s="42"/>
      <c r="DI31" s="3"/>
      <c r="DJ31" s="37" t="str">
        <f t="shared" si="29"/>
        <v/>
      </c>
      <c r="DK31" s="3"/>
      <c r="DL31" s="3"/>
      <c r="DM31" s="4"/>
      <c r="DN31" s="4"/>
      <c r="DO31" s="6"/>
      <c r="DP31" s="6"/>
      <c r="DQ31" s="33" t="str">
        <f t="shared" si="30"/>
        <v/>
      </c>
      <c r="DR31" s="42"/>
      <c r="DS31" s="3"/>
      <c r="DT31" s="37" t="str">
        <f t="shared" si="51"/>
        <v/>
      </c>
      <c r="DU31" s="3"/>
      <c r="DV31" s="3"/>
      <c r="DW31" s="4"/>
      <c r="DX31" s="4"/>
      <c r="DY31" s="6"/>
      <c r="DZ31" s="6"/>
      <c r="EA31" s="33" t="str">
        <f t="shared" si="31"/>
        <v/>
      </c>
      <c r="EB31" s="42"/>
      <c r="EC31" s="3"/>
      <c r="ED31" s="37" t="str">
        <f t="shared" si="32"/>
        <v/>
      </c>
      <c r="EE31" s="3"/>
      <c r="EF31" s="3"/>
      <c r="EG31" s="4"/>
      <c r="EH31" s="4"/>
      <c r="EI31" s="6"/>
      <c r="EJ31" s="6"/>
      <c r="EK31" s="33" t="str">
        <f t="shared" si="33"/>
        <v/>
      </c>
      <c r="EL31" s="42"/>
      <c r="EM31" s="3"/>
      <c r="EN31" s="37" t="str">
        <f t="shared" si="34"/>
        <v/>
      </c>
      <c r="EO31" s="3"/>
      <c r="EP31" s="3"/>
      <c r="EQ31" s="4"/>
      <c r="ER31" s="4"/>
      <c r="ES31" s="6"/>
      <c r="ET31" s="6"/>
      <c r="EU31" s="33" t="str">
        <f t="shared" si="35"/>
        <v/>
      </c>
      <c r="EV31" s="42"/>
      <c r="EW31" s="3"/>
      <c r="EX31" s="37" t="str">
        <f t="shared" si="36"/>
        <v/>
      </c>
      <c r="EY31" s="3"/>
      <c r="EZ31" s="3"/>
      <c r="FA31" s="4"/>
      <c r="FB31" s="4"/>
      <c r="FC31" s="6"/>
      <c r="FD31" s="6"/>
      <c r="FE31" s="33" t="str">
        <f t="shared" si="37"/>
        <v/>
      </c>
      <c r="FF31" s="42"/>
      <c r="FG31" s="3"/>
      <c r="FH31" s="37" t="str">
        <f t="shared" si="38"/>
        <v/>
      </c>
      <c r="FI31" s="3"/>
      <c r="FJ31" s="3"/>
      <c r="FM31" s="54">
        <f t="shared" si="44"/>
        <v>0</v>
      </c>
      <c r="FN31" s="54">
        <f t="shared" si="44"/>
        <v>0</v>
      </c>
      <c r="FO31" s="471">
        <f t="shared" si="39"/>
        <v>0</v>
      </c>
      <c r="FP31" s="471">
        <f t="shared" si="39"/>
        <v>0</v>
      </c>
    </row>
    <row r="32" spans="2:172" ht="15" hidden="1">
      <c r="E32" s="52"/>
      <c r="S32" s="52"/>
      <c r="T32" s="52"/>
      <c r="U32" s="52"/>
      <c r="V32" s="52"/>
      <c r="W32" s="52"/>
      <c r="X32" s="52"/>
      <c r="Y32" s="52"/>
      <c r="Z32" s="52"/>
      <c r="AD32"/>
      <c r="AL32"/>
      <c r="AM32"/>
      <c r="AN32" s="126" t="str">
        <f>IF(AND(Z32&gt;Summary!$C$5, Z32&lt;=Summary!$D$5),Summary!$B$5,IF(AND(Z32&gt;Summary!$C$6, Z32&lt;=Summary!$D$6),Summary!$B$6,IF(AND(Z32&gt;Summary!$C$7, Z32&lt;=Summary!$D$7),Summary!$B$7,Summary!$B$8)))</f>
        <v>×</v>
      </c>
    </row>
    <row r="33" spans="2:46" ht="42" hidden="1" customHeight="1">
      <c r="B33" s="27" t="s">
        <v>1105</v>
      </c>
      <c r="C33" s="27" t="s">
        <v>445</v>
      </c>
      <c r="D33" s="27"/>
      <c r="E33" s="28"/>
      <c r="F33" s="28" t="s">
        <v>182</v>
      </c>
      <c r="G33" s="28" t="s">
        <v>182</v>
      </c>
      <c r="H33" s="28" t="s">
        <v>182</v>
      </c>
      <c r="I33" s="28" t="s">
        <v>182</v>
      </c>
      <c r="J33" s="28" t="s">
        <v>182</v>
      </c>
      <c r="K33" s="28" t="s">
        <v>182</v>
      </c>
      <c r="L33" s="28" t="s">
        <v>182</v>
      </c>
      <c r="M33" s="28" t="s">
        <v>182</v>
      </c>
      <c r="N33" s="28" t="s">
        <v>182</v>
      </c>
      <c r="O33" s="28" t="s">
        <v>182</v>
      </c>
      <c r="P33" s="28" t="s">
        <v>182</v>
      </c>
      <c r="Q33" s="28" t="s">
        <v>182</v>
      </c>
      <c r="R33" s="28" t="s">
        <v>182</v>
      </c>
      <c r="S33" s="28"/>
      <c r="T33" s="28"/>
      <c r="U33" s="28"/>
      <c r="V33" s="28"/>
      <c r="W33" s="28" t="s">
        <v>182</v>
      </c>
      <c r="X33" s="28" t="s">
        <v>182</v>
      </c>
      <c r="Y33" s="28" t="s">
        <v>182</v>
      </c>
      <c r="Z33" s="28" t="s">
        <v>182</v>
      </c>
      <c r="AA33" s="29"/>
      <c r="AB33" s="29"/>
      <c r="AC33" s="29"/>
      <c r="AD33" s="29"/>
      <c r="AE33" s="29"/>
      <c r="AF33" s="29"/>
      <c r="AG33" s="29"/>
      <c r="AH33" s="29"/>
      <c r="AI33" s="29"/>
      <c r="AJ33" s="29"/>
      <c r="AK33" s="29"/>
      <c r="AL33" s="29"/>
      <c r="AM33" s="29"/>
      <c r="AN33" s="29"/>
      <c r="AO33" s="14"/>
      <c r="AP33" s="44"/>
      <c r="AQ33" s="44"/>
      <c r="AR33" s="44"/>
      <c r="AS33" s="44"/>
      <c r="AT33" s="44"/>
    </row>
    <row r="34" spans="2:46" ht="42" hidden="1" customHeight="1">
      <c r="B34" s="27" t="s">
        <v>1106</v>
      </c>
      <c r="C34" s="27" t="s">
        <v>445</v>
      </c>
      <c r="D34" s="27"/>
      <c r="E34" s="28"/>
      <c r="F34" s="28" t="s">
        <v>182</v>
      </c>
      <c r="G34" s="28" t="s">
        <v>182</v>
      </c>
      <c r="H34" s="28" t="s">
        <v>182</v>
      </c>
      <c r="I34" s="28" t="s">
        <v>182</v>
      </c>
      <c r="J34" s="28" t="s">
        <v>182</v>
      </c>
      <c r="K34" s="28" t="s">
        <v>182</v>
      </c>
      <c r="L34" s="28" t="s">
        <v>182</v>
      </c>
      <c r="M34" s="28" t="s">
        <v>182</v>
      </c>
      <c r="N34" s="28" t="s">
        <v>182</v>
      </c>
      <c r="O34" s="28" t="s">
        <v>182</v>
      </c>
      <c r="P34" s="28" t="s">
        <v>182</v>
      </c>
      <c r="Q34" s="28" t="s">
        <v>182</v>
      </c>
      <c r="R34" s="28" t="s">
        <v>182</v>
      </c>
      <c r="S34" s="28"/>
      <c r="T34" s="28"/>
      <c r="U34" s="28"/>
      <c r="V34" s="28"/>
      <c r="W34" s="28" t="s">
        <v>182</v>
      </c>
      <c r="X34" s="28" t="s">
        <v>182</v>
      </c>
      <c r="Y34" s="28" t="s">
        <v>182</v>
      </c>
      <c r="Z34" s="28" t="s">
        <v>182</v>
      </c>
      <c r="AA34" s="29"/>
      <c r="AB34" s="29"/>
      <c r="AC34" s="29"/>
      <c r="AD34" s="29"/>
      <c r="AE34" s="29"/>
      <c r="AF34" s="29"/>
      <c r="AG34" s="29"/>
      <c r="AH34" s="29"/>
      <c r="AI34" s="29"/>
      <c r="AJ34" s="29"/>
      <c r="AK34" s="314"/>
      <c r="AL34" s="29"/>
      <c r="AM34" s="141"/>
      <c r="AN34" s="29"/>
      <c r="AO34" s="14"/>
      <c r="AP34" s="44"/>
      <c r="AQ34" s="44"/>
      <c r="AR34" s="44"/>
      <c r="AS34" s="44"/>
      <c r="AT34" s="44"/>
    </row>
    <row r="35" spans="2:46" ht="42" customHeight="1">
      <c r="B35" s="3"/>
      <c r="C35" s="27"/>
      <c r="D35" s="27"/>
      <c r="E35" s="28"/>
      <c r="F35" s="4"/>
      <c r="G35" s="4"/>
      <c r="H35" s="4"/>
      <c r="I35" s="4"/>
      <c r="J35" s="4"/>
      <c r="K35" s="4"/>
      <c r="L35" s="4"/>
      <c r="M35" s="4"/>
      <c r="N35" s="4"/>
      <c r="O35" s="4"/>
      <c r="P35" s="4"/>
      <c r="Q35" s="4"/>
      <c r="R35" s="4"/>
      <c r="S35" s="28"/>
      <c r="T35" s="28"/>
      <c r="U35" s="28"/>
      <c r="V35" s="28"/>
      <c r="W35" s="28"/>
      <c r="X35" s="28"/>
      <c r="Y35" s="28"/>
      <c r="Z35" s="28"/>
      <c r="AA35" s="5"/>
      <c r="AB35" s="5"/>
      <c r="AC35" s="5"/>
      <c r="AD35" s="5"/>
      <c r="AE35" s="5"/>
      <c r="AF35" s="5"/>
      <c r="AG35" s="5"/>
      <c r="AH35" s="5"/>
      <c r="AI35" s="5"/>
      <c r="AJ35" s="5"/>
      <c r="AK35" s="199"/>
      <c r="AL35" s="5"/>
      <c r="AM35" s="5"/>
      <c r="AN35" s="142"/>
      <c r="AO35" s="14"/>
      <c r="AP35" s="44"/>
      <c r="AQ35" s="44"/>
      <c r="AR35" s="44"/>
      <c r="AS35" s="44"/>
      <c r="AT35" s="44"/>
    </row>
  </sheetData>
  <autoFilter ref="B9:FJ34" xr:uid="{D4BBBEA3-DEC3-43F3-BE17-1F6447BD0473}">
    <filterColumn colId="35">
      <filters>
        <filter val="LOW"/>
      </filters>
    </filterColumn>
  </autoFilter>
  <sortState xmlns:xlrd2="http://schemas.microsoft.com/office/spreadsheetml/2017/richdata2" ref="B10:C27">
    <sortCondition ref="B10:B27"/>
  </sortState>
  <mergeCells count="2">
    <mergeCell ref="AC8:AD8"/>
    <mergeCell ref="AE8:AF8"/>
  </mergeCells>
  <phoneticPr fontId="10"/>
  <conditionalFormatting sqref="Z10:Z31">
    <cfRule type="cellIs" dxfId="923" priority="19" operator="lessThan">
      <formula>60</formula>
    </cfRule>
  </conditionalFormatting>
  <conditionalFormatting sqref="AV10:AV31">
    <cfRule type="cellIs" dxfId="922" priority="27" operator="equal">
      <formula>"×"</formula>
    </cfRule>
  </conditionalFormatting>
  <conditionalFormatting sqref="AY10:AY31">
    <cfRule type="cellIs" dxfId="921" priority="38" operator="lessThan">
      <formula>0.6</formula>
    </cfRule>
  </conditionalFormatting>
  <conditionalFormatting sqref="BB10:BB31">
    <cfRule type="cellIs" dxfId="920" priority="36" operator="greaterThan">
      <formula>8</formula>
    </cfRule>
  </conditionalFormatting>
  <conditionalFormatting sqref="BF10:BF31">
    <cfRule type="cellIs" dxfId="919" priority="26" operator="equal">
      <formula>"×"</formula>
    </cfRule>
  </conditionalFormatting>
  <conditionalFormatting sqref="BI10:BI31">
    <cfRule type="cellIs" dxfId="918" priority="29" operator="lessThan">
      <formula>0.6</formula>
    </cfRule>
  </conditionalFormatting>
  <conditionalFormatting sqref="BL10:BL31">
    <cfRule type="cellIs" dxfId="917" priority="28" operator="greaterThan">
      <formula>8</formula>
    </cfRule>
  </conditionalFormatting>
  <conditionalFormatting sqref="BP10:BP31">
    <cfRule type="cellIs" dxfId="916" priority="25" operator="equal">
      <formula>"×"</formula>
    </cfRule>
  </conditionalFormatting>
  <conditionalFormatting sqref="BS10:BS31">
    <cfRule type="cellIs" dxfId="915" priority="31" operator="lessThan">
      <formula>0.6</formula>
    </cfRule>
  </conditionalFormatting>
  <conditionalFormatting sqref="BV10:BV31">
    <cfRule type="cellIs" dxfId="914" priority="30" operator="greaterThan">
      <formula>8</formula>
    </cfRule>
  </conditionalFormatting>
  <conditionalFormatting sqref="BX10:BX31 EP10:EP31 EZ10:EZ31 FJ10:FJ31 BD28:BD31 CH28:CH31 CR28:CR31 DB28:DB31 DL28:DL31 DV28:DV31 EF28:EF31 BN29:BN31">
    <cfRule type="cellIs" dxfId="913" priority="37" operator="notEqual">
      <formula>BC10</formula>
    </cfRule>
  </conditionalFormatting>
  <conditionalFormatting sqref="BZ10:BZ31">
    <cfRule type="cellIs" dxfId="912" priority="24" operator="equal">
      <formula>"×"</formula>
    </cfRule>
  </conditionalFormatting>
  <conditionalFormatting sqref="CC10:CC31">
    <cfRule type="cellIs" dxfId="911" priority="33" operator="lessThan">
      <formula>0.6</formula>
    </cfRule>
  </conditionalFormatting>
  <conditionalFormatting sqref="CF10:CF31">
    <cfRule type="cellIs" dxfId="910" priority="32" operator="greaterThan">
      <formula>8</formula>
    </cfRule>
  </conditionalFormatting>
  <conditionalFormatting sqref="CJ10:CJ31">
    <cfRule type="cellIs" dxfId="909" priority="23" operator="equal">
      <formula>"×"</formula>
    </cfRule>
  </conditionalFormatting>
  <conditionalFormatting sqref="CM10:CM31">
    <cfRule type="cellIs" dxfId="908" priority="35" operator="lessThan">
      <formula>0.6</formula>
    </cfRule>
  </conditionalFormatting>
  <conditionalFormatting sqref="CP10:CP31">
    <cfRule type="cellIs" dxfId="907" priority="34" operator="greaterThan">
      <formula>8</formula>
    </cfRule>
  </conditionalFormatting>
  <conditionalFormatting sqref="CT10:CT31">
    <cfRule type="cellIs" dxfId="906" priority="20" operator="equal">
      <formula>"×"</formula>
    </cfRule>
  </conditionalFormatting>
  <conditionalFormatting sqref="CW10:CW31">
    <cfRule type="cellIs" dxfId="905" priority="22" operator="lessThan">
      <formula>0.6</formula>
    </cfRule>
  </conditionalFormatting>
  <conditionalFormatting sqref="CZ10:CZ31">
    <cfRule type="cellIs" dxfId="904" priority="21" operator="greaterThan">
      <formula>8</formula>
    </cfRule>
  </conditionalFormatting>
  <conditionalFormatting sqref="DD10:DD31">
    <cfRule type="cellIs" dxfId="903" priority="8" operator="equal">
      <formula>"×"</formula>
    </cfRule>
  </conditionalFormatting>
  <conditionalFormatting sqref="DG10:DG31">
    <cfRule type="cellIs" dxfId="902" priority="18" operator="lessThan">
      <formula>0.6</formula>
    </cfRule>
  </conditionalFormatting>
  <conditionalFormatting sqref="DJ10:DJ31">
    <cfRule type="cellIs" dxfId="901" priority="17" operator="greaterThan">
      <formula>8</formula>
    </cfRule>
  </conditionalFormatting>
  <conditionalFormatting sqref="DN10:DN31">
    <cfRule type="cellIs" dxfId="900" priority="7" operator="equal">
      <formula>"×"</formula>
    </cfRule>
  </conditionalFormatting>
  <conditionalFormatting sqref="DQ10:DQ31">
    <cfRule type="cellIs" dxfId="899" priority="10" operator="lessThan">
      <formula>0.6</formula>
    </cfRule>
  </conditionalFormatting>
  <conditionalFormatting sqref="DT10:DT31">
    <cfRule type="cellIs" dxfId="898" priority="9" operator="greaterThan">
      <formula>8</formula>
    </cfRule>
  </conditionalFormatting>
  <conditionalFormatting sqref="DX10:DX31">
    <cfRule type="cellIs" dxfId="897" priority="6" operator="equal">
      <formula>"×"</formula>
    </cfRule>
  </conditionalFormatting>
  <conditionalFormatting sqref="EA10:EA31">
    <cfRule type="cellIs" dxfId="896" priority="12" operator="lessThan">
      <formula>0.6</formula>
    </cfRule>
  </conditionalFormatting>
  <conditionalFormatting sqref="ED10:ED31">
    <cfRule type="cellIs" dxfId="895" priority="11" operator="greaterThan">
      <formula>8</formula>
    </cfRule>
  </conditionalFormatting>
  <conditionalFormatting sqref="EH10:EH31">
    <cfRule type="cellIs" dxfId="894" priority="5" operator="equal">
      <formula>"×"</formula>
    </cfRule>
  </conditionalFormatting>
  <conditionalFormatting sqref="EK10:EK31">
    <cfRule type="cellIs" dxfId="893" priority="14" operator="lessThan">
      <formula>0.6</formula>
    </cfRule>
  </conditionalFormatting>
  <conditionalFormatting sqref="EN10:EN31">
    <cfRule type="cellIs" dxfId="892" priority="13" operator="greaterThan">
      <formula>8</formula>
    </cfRule>
  </conditionalFormatting>
  <conditionalFormatting sqref="ER10:ER31">
    <cfRule type="cellIs" dxfId="891" priority="4" operator="equal">
      <formula>"×"</formula>
    </cfRule>
  </conditionalFormatting>
  <conditionalFormatting sqref="EU10:EU31">
    <cfRule type="cellIs" dxfId="890" priority="16" operator="lessThan">
      <formula>0.6</formula>
    </cfRule>
  </conditionalFormatting>
  <conditionalFormatting sqref="EX10:EX31">
    <cfRule type="cellIs" dxfId="889" priority="15" operator="greaterThan">
      <formula>8</formula>
    </cfRule>
  </conditionalFormatting>
  <conditionalFormatting sqref="FB10:FB31">
    <cfRule type="cellIs" dxfId="888" priority="1" operator="equal">
      <formula>"×"</formula>
    </cfRule>
  </conditionalFormatting>
  <conditionalFormatting sqref="FE10:FE31">
    <cfRule type="cellIs" dxfId="887" priority="3" operator="lessThan">
      <formula>0.6</formula>
    </cfRule>
  </conditionalFormatting>
  <conditionalFormatting sqref="FH10:FH31">
    <cfRule type="cellIs" dxfId="886" priority="2" operator="greaterThan">
      <formula>8</formula>
    </cfRule>
  </conditionalFormatting>
  <dataValidations count="2">
    <dataValidation type="list" allowBlank="1" showInputMessage="1" showErrorMessage="1" sqref="AE28 AE23 AE20 AE14 AO10:AS31 AO33:AT35" xr:uid="{8953EC23-007D-4F91-ABCF-FD436778D3CA}">
      <formula1>"○,△,×"</formula1>
    </dataValidation>
    <dataValidation type="list" allowBlank="1" showInputMessage="1" showErrorMessage="1" sqref="FB10:FB31 BF10:BF31 BZ10:BZ31 BP10:BP31 CJ10:CJ31 CT10:CT31 DD10:DD31 DN10:DN31 DX10:DX31 EH10:EH31 ER10:ER31 AV10:AV31" xr:uid="{8CD1C3DD-CBF6-43AE-A8D2-252C4698664A}">
      <formula1>"○,×"</formula1>
    </dataValidation>
  </dataValidation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B998-112B-4FF5-984D-85A370970A94}">
  <sheetPr filterMode="1"/>
  <dimension ref="B2:FP35"/>
  <sheetViews>
    <sheetView showGridLines="0" zoomScale="80" zoomScaleNormal="80" workbookViewId="0">
      <pane xSplit="5" ySplit="9" topLeftCell="F25" activePane="bottomRight" state="frozen"/>
      <selection pane="bottomRight" activeCell="Z15" sqref="Z15"/>
      <selection pane="bottomLeft" activeCell="A10" sqref="A10"/>
      <selection pane="topRight" activeCell="F1" sqref="F1"/>
    </sheetView>
  </sheetViews>
  <sheetFormatPr defaultRowHeight="13.5" outlineLevelCol="1"/>
  <cols>
    <col min="1" max="1" width="2.5703125" customWidth="1"/>
    <col min="2" max="2" width="24.42578125" bestFit="1" customWidth="1"/>
    <col min="3" max="3" width="8.140625" bestFit="1" customWidth="1"/>
    <col min="4" max="4" width="8.140625" customWidth="1"/>
    <col min="5" max="5" width="7.85546875" customWidth="1"/>
    <col min="6" max="17" width="6.85546875" customWidth="1" outlineLevel="1"/>
    <col min="18" max="18" width="10.140625" customWidth="1" outlineLevel="1"/>
    <col min="19" max="22" width="7.85546875" customWidth="1" outlineLevel="1"/>
    <col min="23" max="25" width="7.85546875" customWidth="1"/>
    <col min="26" max="26" width="11.7109375" customWidth="1"/>
    <col min="27" max="28" width="35.42578125" customWidth="1"/>
    <col min="29" max="29" width="10.140625" customWidth="1"/>
    <col min="30" max="30" width="35.42578125" customWidth="1"/>
    <col min="31" max="31" width="9.140625" customWidth="1"/>
    <col min="32" max="32" width="55.85546875" customWidth="1"/>
    <col min="33" max="33" width="13" bestFit="1" customWidth="1"/>
    <col min="34" max="34" width="13.42578125" bestFit="1" customWidth="1"/>
    <col min="35" max="35" width="10.7109375" bestFit="1" customWidth="1"/>
    <col min="36" max="36" width="13.42578125" bestFit="1" customWidth="1"/>
    <col min="37" max="37" width="9.85546875" bestFit="1" customWidth="1"/>
    <col min="38" max="38" width="54.28515625" customWidth="1"/>
    <col min="39" max="39" width="63.140625" customWidth="1"/>
    <col min="40" max="40" width="10.5703125" bestFit="1" customWidth="1"/>
    <col min="41" max="45" width="11" customWidth="1"/>
    <col min="46" max="46" width="35.42578125" customWidth="1"/>
    <col min="47" max="47" width="10.5703125" customWidth="1"/>
    <col min="48" max="48" width="10.5703125" style="152" customWidth="1"/>
    <col min="49" max="57" width="10.5703125" customWidth="1"/>
    <col min="58" max="58" width="10.5703125" style="152" customWidth="1"/>
    <col min="59" max="67" width="10.5703125" customWidth="1"/>
    <col min="68" max="68" width="10.5703125" style="152" customWidth="1"/>
    <col min="69" max="77" width="10.5703125" customWidth="1"/>
    <col min="78" max="78" width="10.5703125" style="152" customWidth="1"/>
    <col min="79" max="87" width="10.5703125" customWidth="1"/>
    <col min="88" max="88" width="10.5703125" style="152" customWidth="1"/>
    <col min="89" max="97" width="10.5703125" customWidth="1"/>
    <col min="98" max="98" width="10.5703125" style="152" customWidth="1"/>
    <col min="99" max="107" width="10.5703125" customWidth="1"/>
    <col min="108" max="108" width="10.5703125" style="152" customWidth="1"/>
    <col min="109" max="117" width="10.5703125" customWidth="1"/>
    <col min="118" max="118" width="10.5703125" style="152" customWidth="1"/>
    <col min="119" max="127" width="10.5703125" customWidth="1"/>
    <col min="128" max="128" width="10.5703125" style="152" customWidth="1"/>
    <col min="129" max="166" width="10.5703125" customWidth="1"/>
  </cols>
  <sheetData>
    <row r="2" spans="2:172" ht="15">
      <c r="B2" s="25" t="s">
        <v>113</v>
      </c>
      <c r="C2" s="25"/>
      <c r="D2" s="25"/>
      <c r="E2" s="25"/>
      <c r="F2" s="32" t="s">
        <v>114</v>
      </c>
      <c r="G2" s="16"/>
      <c r="H2" s="16"/>
      <c r="I2" s="16"/>
      <c r="J2" s="16"/>
      <c r="K2" s="16"/>
      <c r="L2" s="70"/>
      <c r="M2" s="16"/>
      <c r="N2" s="16"/>
      <c r="O2" s="71"/>
      <c r="P2" s="1"/>
      <c r="S2" s="25"/>
      <c r="T2" s="25"/>
      <c r="U2" s="25"/>
      <c r="V2" s="25"/>
      <c r="W2" s="25"/>
      <c r="X2" s="25"/>
      <c r="Y2" s="25"/>
      <c r="Z2" s="25"/>
      <c r="AB2" s="54"/>
      <c r="AC2" s="54"/>
      <c r="AD2" s="54"/>
      <c r="AE2" s="54"/>
      <c r="AF2" s="54" t="s">
        <v>187</v>
      </c>
      <c r="AG2" s="54"/>
      <c r="AH2" s="54"/>
      <c r="AI2" s="54"/>
      <c r="AJ2" s="54"/>
      <c r="AK2" s="54"/>
      <c r="AL2" s="54"/>
      <c r="AM2" s="54"/>
      <c r="AN2" s="54"/>
    </row>
    <row r="3" spans="2:172">
      <c r="B3" s="24" t="s">
        <v>1107</v>
      </c>
      <c r="F3" s="1" t="s">
        <v>14</v>
      </c>
      <c r="H3" s="24" t="s">
        <v>116</v>
      </c>
      <c r="N3" s="24"/>
      <c r="O3" s="72"/>
      <c r="P3" s="1"/>
      <c r="Q3" t="s">
        <v>189</v>
      </c>
      <c r="AB3" s="54"/>
      <c r="AC3" s="54"/>
      <c r="AD3" s="54"/>
      <c r="AE3" s="54"/>
      <c r="AF3" s="54" t="s">
        <v>190</v>
      </c>
      <c r="AG3" s="54"/>
      <c r="AH3" s="54"/>
      <c r="AI3" s="54"/>
      <c r="AJ3" s="54"/>
      <c r="AK3" s="54"/>
      <c r="AL3" s="54"/>
      <c r="AM3" s="54"/>
      <c r="AN3" s="54"/>
    </row>
    <row r="4" spans="2:172">
      <c r="F4" s="34"/>
      <c r="H4" s="24" t="s">
        <v>117</v>
      </c>
      <c r="L4" s="24"/>
      <c r="N4" s="24"/>
      <c r="O4" s="72"/>
      <c r="P4" s="1"/>
      <c r="Q4" t="s">
        <v>1108</v>
      </c>
      <c r="AF4" t="s">
        <v>192</v>
      </c>
    </row>
    <row r="5" spans="2:172">
      <c r="F5" s="34" t="s">
        <v>15</v>
      </c>
      <c r="H5" s="24" t="s">
        <v>1109</v>
      </c>
      <c r="L5" s="24"/>
      <c r="N5" s="24"/>
      <c r="O5" s="72"/>
      <c r="P5" s="1"/>
      <c r="Q5" t="s">
        <v>193</v>
      </c>
      <c r="AF5" t="s">
        <v>194</v>
      </c>
    </row>
    <row r="6" spans="2:172">
      <c r="B6" s="78" t="s">
        <v>1110</v>
      </c>
      <c r="F6" s="2"/>
      <c r="G6" s="22"/>
      <c r="H6" s="22" t="s">
        <v>119</v>
      </c>
      <c r="I6" s="17"/>
      <c r="J6" s="17"/>
      <c r="K6" s="17"/>
      <c r="L6" s="17"/>
      <c r="M6" s="22"/>
      <c r="N6" s="22"/>
      <c r="O6" s="73"/>
      <c r="P6" s="1"/>
      <c r="AF6" t="s">
        <v>196</v>
      </c>
      <c r="AU6" s="10" t="s">
        <v>120</v>
      </c>
      <c r="AV6" s="153"/>
      <c r="AW6" s="11"/>
      <c r="AX6" s="11"/>
      <c r="AY6" s="11"/>
      <c r="AZ6" s="11"/>
      <c r="BA6" s="11"/>
      <c r="BB6" s="11"/>
      <c r="BC6" s="11"/>
      <c r="BD6" s="12"/>
      <c r="BE6" s="43" t="s">
        <v>121</v>
      </c>
      <c r="BF6" s="153"/>
      <c r="BG6" s="11"/>
      <c r="BH6" s="11"/>
      <c r="BI6" s="11"/>
      <c r="BJ6" s="11"/>
      <c r="BK6" s="11"/>
      <c r="BL6" s="11"/>
      <c r="BM6" s="11"/>
      <c r="BN6" s="12"/>
      <c r="BO6" s="43" t="s">
        <v>122</v>
      </c>
      <c r="BP6" s="153"/>
      <c r="BQ6" s="11"/>
      <c r="BR6" s="11"/>
      <c r="BS6" s="11"/>
      <c r="BT6" s="11"/>
      <c r="BU6" s="11"/>
      <c r="BV6" s="11"/>
      <c r="BW6" s="11"/>
      <c r="BX6" s="12"/>
      <c r="BY6" s="43" t="s">
        <v>123</v>
      </c>
      <c r="BZ6" s="153"/>
      <c r="CA6" s="11"/>
      <c r="CB6" s="11"/>
      <c r="CC6" s="11"/>
      <c r="CD6" s="11"/>
      <c r="CE6" s="11"/>
      <c r="CF6" s="11"/>
      <c r="CG6" s="11"/>
      <c r="CH6" s="12"/>
      <c r="CI6" s="43" t="s">
        <v>124</v>
      </c>
      <c r="CJ6" s="153"/>
      <c r="CK6" s="11"/>
      <c r="CL6" s="11"/>
      <c r="CM6" s="11"/>
      <c r="CN6" s="11"/>
      <c r="CO6" s="11"/>
      <c r="CP6" s="11"/>
      <c r="CQ6" s="11"/>
      <c r="CR6" s="12"/>
      <c r="CS6" s="43" t="s">
        <v>125</v>
      </c>
      <c r="CT6" s="153"/>
      <c r="CU6" s="11"/>
      <c r="CV6" s="11"/>
      <c r="CW6" s="11"/>
      <c r="CX6" s="11"/>
      <c r="CY6" s="11"/>
      <c r="CZ6" s="11"/>
      <c r="DA6" s="11"/>
      <c r="DB6" s="12"/>
      <c r="DC6" s="43" t="s">
        <v>126</v>
      </c>
      <c r="DD6" s="153"/>
      <c r="DE6" s="11"/>
      <c r="DF6" s="11"/>
      <c r="DG6" s="11"/>
      <c r="DH6" s="11"/>
      <c r="DI6" s="11"/>
      <c r="DJ6" s="11"/>
      <c r="DK6" s="11"/>
      <c r="DL6" s="12"/>
      <c r="DM6" s="43" t="s">
        <v>127</v>
      </c>
      <c r="DN6" s="153"/>
      <c r="DO6" s="11"/>
      <c r="DP6" s="11"/>
      <c r="DQ6" s="11"/>
      <c r="DR6" s="11"/>
      <c r="DS6" s="11"/>
      <c r="DT6" s="11"/>
      <c r="DU6" s="11"/>
      <c r="DV6" s="12"/>
      <c r="DW6" s="43" t="s">
        <v>128</v>
      </c>
      <c r="DX6" s="153"/>
      <c r="DY6" s="11"/>
      <c r="DZ6" s="11"/>
      <c r="EA6" s="11"/>
      <c r="EB6" s="11"/>
      <c r="EC6" s="11"/>
      <c r="ED6" s="11"/>
      <c r="EE6" s="11"/>
      <c r="EF6" s="12"/>
      <c r="EG6" s="43" t="s">
        <v>129</v>
      </c>
      <c r="EH6" s="51"/>
      <c r="EI6" s="11"/>
      <c r="EJ6" s="11"/>
      <c r="EK6" s="11"/>
      <c r="EL6" s="11"/>
      <c r="EM6" s="11"/>
      <c r="EN6" s="11"/>
      <c r="EO6" s="11"/>
      <c r="EP6" s="12"/>
      <c r="EQ6" s="43" t="s">
        <v>130</v>
      </c>
      <c r="ER6" s="51"/>
      <c r="ES6" s="11"/>
      <c r="ET6" s="11"/>
      <c r="EU6" s="11"/>
      <c r="EV6" s="11"/>
      <c r="EW6" s="11"/>
      <c r="EX6" s="11"/>
      <c r="EY6" s="11"/>
      <c r="EZ6" s="12"/>
      <c r="FA6" s="43" t="s">
        <v>131</v>
      </c>
      <c r="FB6" s="51"/>
      <c r="FC6" s="11"/>
      <c r="FD6" s="11"/>
      <c r="FE6" s="11"/>
      <c r="FF6" s="11"/>
      <c r="FG6" s="11"/>
      <c r="FH6" s="11"/>
      <c r="FI6" s="11"/>
      <c r="FJ6" s="12"/>
    </row>
    <row r="7" spans="2:172">
      <c r="AH7" s="295">
        <f>AVERAGE(AH10:AH26)</f>
        <v>1.2760104176633238</v>
      </c>
      <c r="AI7" s="202">
        <f>AVERAGE(AI10:AI26)</f>
        <v>18.262985339509637</v>
      </c>
      <c r="AP7">
        <f>COUNTIF(AP10:AP50,"○")</f>
        <v>3</v>
      </c>
      <c r="AQ7">
        <f>COUNTIF(AQ10:AQ50,"○")</f>
        <v>3</v>
      </c>
      <c r="AR7">
        <f>COUNTIF(AR10:AR50,"○")</f>
        <v>1</v>
      </c>
      <c r="AS7">
        <f>COUNTIF(AS10:AS50,"○")</f>
        <v>10</v>
      </c>
      <c r="AU7" s="18" t="s">
        <v>132</v>
      </c>
      <c r="AV7" s="154"/>
      <c r="AW7" s="18" t="s">
        <v>14</v>
      </c>
      <c r="AX7" s="11"/>
      <c r="AY7" s="12"/>
      <c r="AZ7" s="18" t="s">
        <v>15</v>
      </c>
      <c r="BA7" s="11"/>
      <c r="BB7" s="11"/>
      <c r="BC7" s="11"/>
      <c r="BD7" s="12"/>
      <c r="BE7" s="18" t="s">
        <v>132</v>
      </c>
      <c r="BF7" s="154"/>
      <c r="BG7" s="18" t="s">
        <v>14</v>
      </c>
      <c r="BH7" s="11"/>
      <c r="BI7" s="12"/>
      <c r="BJ7" s="18" t="s">
        <v>15</v>
      </c>
      <c r="BK7" s="11"/>
      <c r="BL7" s="11"/>
      <c r="BM7" s="11"/>
      <c r="BN7" s="12"/>
      <c r="BO7" s="18" t="s">
        <v>132</v>
      </c>
      <c r="BP7" s="154"/>
      <c r="BQ7" s="18" t="s">
        <v>14</v>
      </c>
      <c r="BR7" s="11"/>
      <c r="BS7" s="12"/>
      <c r="BT7" s="18" t="s">
        <v>15</v>
      </c>
      <c r="BU7" s="11"/>
      <c r="BV7" s="11"/>
      <c r="BW7" s="11"/>
      <c r="BX7" s="12"/>
      <c r="BY7" s="18" t="s">
        <v>132</v>
      </c>
      <c r="BZ7" s="154"/>
      <c r="CA7" s="18" t="s">
        <v>14</v>
      </c>
      <c r="CB7" s="11"/>
      <c r="CC7" s="12"/>
      <c r="CD7" s="18" t="s">
        <v>15</v>
      </c>
      <c r="CE7" s="11"/>
      <c r="CF7" s="11"/>
      <c r="CG7" s="11"/>
      <c r="CH7" s="12"/>
      <c r="CI7" s="18" t="s">
        <v>132</v>
      </c>
      <c r="CJ7" s="154"/>
      <c r="CK7" s="18" t="s">
        <v>14</v>
      </c>
      <c r="CL7" s="11"/>
      <c r="CM7" s="12"/>
      <c r="CN7" s="18" t="s">
        <v>15</v>
      </c>
      <c r="CO7" s="11"/>
      <c r="CP7" s="11"/>
      <c r="CQ7" s="11"/>
      <c r="CR7" s="12"/>
      <c r="CS7" s="18" t="s">
        <v>132</v>
      </c>
      <c r="CT7" s="154"/>
      <c r="CU7" s="18" t="s">
        <v>14</v>
      </c>
      <c r="CV7" s="11"/>
      <c r="CW7" s="12"/>
      <c r="CX7" s="18" t="s">
        <v>15</v>
      </c>
      <c r="CY7" s="11"/>
      <c r="CZ7" s="11"/>
      <c r="DA7" s="11"/>
      <c r="DB7" s="12"/>
      <c r="DC7" s="18" t="s">
        <v>132</v>
      </c>
      <c r="DD7" s="154"/>
      <c r="DE7" s="18" t="s">
        <v>14</v>
      </c>
      <c r="DF7" s="11"/>
      <c r="DG7" s="12"/>
      <c r="DH7" s="18" t="s">
        <v>15</v>
      </c>
      <c r="DI7" s="11"/>
      <c r="DJ7" s="11"/>
      <c r="DK7" s="11"/>
      <c r="DL7" s="12"/>
      <c r="DM7" s="18" t="s">
        <v>132</v>
      </c>
      <c r="DN7" s="154"/>
      <c r="DO7" s="18" t="s">
        <v>14</v>
      </c>
      <c r="DP7" s="11"/>
      <c r="DQ7" s="12"/>
      <c r="DR7" s="18" t="s">
        <v>15</v>
      </c>
      <c r="DS7" s="11"/>
      <c r="DT7" s="11"/>
      <c r="DU7" s="11"/>
      <c r="DV7" s="12"/>
      <c r="DW7" s="18" t="s">
        <v>132</v>
      </c>
      <c r="DX7" s="154"/>
      <c r="DY7" s="18" t="s">
        <v>14</v>
      </c>
      <c r="DZ7" s="11"/>
      <c r="EA7" s="12"/>
      <c r="EB7" s="18" t="s">
        <v>15</v>
      </c>
      <c r="EC7" s="11"/>
      <c r="ED7" s="11"/>
      <c r="EE7" s="11"/>
      <c r="EF7" s="12"/>
      <c r="EG7" s="18" t="s">
        <v>132</v>
      </c>
      <c r="EH7" s="12"/>
      <c r="EI7" s="18" t="s">
        <v>14</v>
      </c>
      <c r="EJ7" s="11"/>
      <c r="EK7" s="12"/>
      <c r="EL7" s="18" t="s">
        <v>15</v>
      </c>
      <c r="EM7" s="11"/>
      <c r="EN7" s="11"/>
      <c r="EO7" s="11"/>
      <c r="EP7" s="12"/>
      <c r="EQ7" s="18" t="s">
        <v>132</v>
      </c>
      <c r="ER7" s="12"/>
      <c r="ES7" s="18" t="s">
        <v>14</v>
      </c>
      <c r="ET7" s="11"/>
      <c r="EU7" s="12"/>
      <c r="EV7" s="18" t="s">
        <v>15</v>
      </c>
      <c r="EW7" s="11"/>
      <c r="EX7" s="11"/>
      <c r="EY7" s="11"/>
      <c r="EZ7" s="12"/>
      <c r="FA7" s="18" t="s">
        <v>132</v>
      </c>
      <c r="FB7" s="12"/>
      <c r="FC7" s="18" t="s">
        <v>14</v>
      </c>
      <c r="FD7" s="11"/>
      <c r="FE7" s="12"/>
      <c r="FF7" s="18" t="s">
        <v>15</v>
      </c>
      <c r="FG7" s="11"/>
      <c r="FH7" s="11"/>
      <c r="FI7" s="11"/>
      <c r="FJ7" s="12"/>
    </row>
    <row r="8" spans="2:172">
      <c r="B8" s="7"/>
      <c r="C8" s="10"/>
      <c r="D8" s="10"/>
      <c r="E8" s="10"/>
      <c r="F8" s="59" t="s">
        <v>133</v>
      </c>
      <c r="G8" s="11"/>
      <c r="H8" s="11"/>
      <c r="I8" s="11"/>
      <c r="J8" s="11"/>
      <c r="K8" s="11"/>
      <c r="L8" s="74"/>
      <c r="M8" s="11"/>
      <c r="N8" s="11"/>
      <c r="O8" s="11"/>
      <c r="P8" s="11"/>
      <c r="Q8" s="11"/>
      <c r="R8" s="11"/>
      <c r="S8" s="11"/>
      <c r="T8" s="11"/>
      <c r="U8" s="11"/>
      <c r="V8" s="12"/>
      <c r="W8" s="57"/>
      <c r="X8" s="58"/>
      <c r="Y8" s="58"/>
      <c r="Z8" s="56"/>
      <c r="AA8" s="31" t="s">
        <v>134</v>
      </c>
      <c r="AB8" s="31" t="s">
        <v>135</v>
      </c>
      <c r="AC8" s="531" t="s">
        <v>197</v>
      </c>
      <c r="AD8" s="531"/>
      <c r="AE8" s="531" t="s">
        <v>198</v>
      </c>
      <c r="AF8" s="531"/>
      <c r="AG8" s="46"/>
      <c r="AH8" s="46"/>
      <c r="AI8" s="46"/>
      <c r="AJ8" s="46"/>
      <c r="AK8" s="46"/>
      <c r="AL8" s="46"/>
      <c r="AM8" s="46"/>
      <c r="AN8" s="45"/>
      <c r="AO8" s="45"/>
      <c r="AP8" s="45"/>
      <c r="AQ8" s="45"/>
      <c r="AR8" s="45"/>
      <c r="AS8" s="45"/>
      <c r="AT8" s="46"/>
      <c r="AU8" s="13"/>
      <c r="AV8" s="155"/>
      <c r="AW8" s="19" t="s">
        <v>116</v>
      </c>
      <c r="AX8" s="41"/>
      <c r="AY8" s="39"/>
      <c r="AZ8" s="40" t="s">
        <v>136</v>
      </c>
      <c r="BA8" s="38"/>
      <c r="BB8" s="39"/>
      <c r="BC8" s="19" t="s">
        <v>137</v>
      </c>
      <c r="BD8" s="15"/>
      <c r="BE8" s="13"/>
      <c r="BF8" s="155"/>
      <c r="BG8" s="19" t="s">
        <v>116</v>
      </c>
      <c r="BH8" s="41"/>
      <c r="BI8" s="39"/>
      <c r="BJ8" s="40" t="s">
        <v>136</v>
      </c>
      <c r="BK8" s="38"/>
      <c r="BL8" s="39"/>
      <c r="BM8" s="19" t="s">
        <v>137</v>
      </c>
      <c r="BN8" s="15"/>
      <c r="BO8" s="13"/>
      <c r="BP8" s="155"/>
      <c r="BQ8" s="19" t="s">
        <v>116</v>
      </c>
      <c r="BR8" s="41"/>
      <c r="BS8" s="39"/>
      <c r="BT8" s="40" t="s">
        <v>136</v>
      </c>
      <c r="BU8" s="38"/>
      <c r="BV8" s="39"/>
      <c r="BW8" s="19" t="s">
        <v>137</v>
      </c>
      <c r="BX8" s="15"/>
      <c r="BY8" s="13"/>
      <c r="BZ8" s="155"/>
      <c r="CA8" s="19" t="s">
        <v>116</v>
      </c>
      <c r="CB8" s="41"/>
      <c r="CC8" s="39"/>
      <c r="CD8" s="40" t="s">
        <v>136</v>
      </c>
      <c r="CE8" s="38"/>
      <c r="CF8" s="39"/>
      <c r="CG8" s="19" t="s">
        <v>137</v>
      </c>
      <c r="CH8" s="15"/>
      <c r="CI8" s="13"/>
      <c r="CJ8" s="155"/>
      <c r="CK8" s="19" t="s">
        <v>116</v>
      </c>
      <c r="CL8" s="41"/>
      <c r="CM8" s="39"/>
      <c r="CN8" s="40" t="s">
        <v>136</v>
      </c>
      <c r="CO8" s="38"/>
      <c r="CP8" s="39"/>
      <c r="CQ8" s="19" t="s">
        <v>137</v>
      </c>
      <c r="CR8" s="15"/>
      <c r="CS8" s="13"/>
      <c r="CT8" s="155"/>
      <c r="CU8" s="19" t="s">
        <v>116</v>
      </c>
      <c r="CV8" s="41"/>
      <c r="CW8" s="39"/>
      <c r="CX8" s="40" t="s">
        <v>136</v>
      </c>
      <c r="CY8" s="38"/>
      <c r="CZ8" s="39"/>
      <c r="DA8" s="19" t="s">
        <v>137</v>
      </c>
      <c r="DB8" s="15"/>
      <c r="DC8" s="13"/>
      <c r="DD8" s="155"/>
      <c r="DE8" s="19" t="s">
        <v>116</v>
      </c>
      <c r="DF8" s="41"/>
      <c r="DG8" s="39"/>
      <c r="DH8" s="40" t="s">
        <v>136</v>
      </c>
      <c r="DI8" s="38"/>
      <c r="DJ8" s="39"/>
      <c r="DK8" s="19" t="s">
        <v>137</v>
      </c>
      <c r="DL8" s="15"/>
      <c r="DM8" s="13"/>
      <c r="DN8" s="155"/>
      <c r="DO8" s="19" t="s">
        <v>116</v>
      </c>
      <c r="DP8" s="41"/>
      <c r="DQ8" s="39"/>
      <c r="DR8" s="40" t="s">
        <v>136</v>
      </c>
      <c r="DS8" s="38"/>
      <c r="DT8" s="39"/>
      <c r="DU8" s="19" t="s">
        <v>137</v>
      </c>
      <c r="DV8" s="15"/>
      <c r="DW8" s="13"/>
      <c r="DX8" s="155"/>
      <c r="DY8" s="19" t="s">
        <v>116</v>
      </c>
      <c r="DZ8" s="41"/>
      <c r="EA8" s="39"/>
      <c r="EB8" s="40" t="s">
        <v>136</v>
      </c>
      <c r="EC8" s="38"/>
      <c r="ED8" s="39"/>
      <c r="EE8" s="19" t="s">
        <v>137</v>
      </c>
      <c r="EF8" s="15"/>
      <c r="EG8" s="13"/>
      <c r="EH8" s="7"/>
      <c r="EI8" s="19" t="s">
        <v>116</v>
      </c>
      <c r="EJ8" s="41"/>
      <c r="EK8" s="39"/>
      <c r="EL8" s="40" t="s">
        <v>136</v>
      </c>
      <c r="EM8" s="38"/>
      <c r="EN8" s="39"/>
      <c r="EO8" s="19" t="s">
        <v>137</v>
      </c>
      <c r="EP8" s="15"/>
      <c r="EQ8" s="13"/>
      <c r="ER8" s="7"/>
      <c r="ES8" s="19" t="s">
        <v>116</v>
      </c>
      <c r="ET8" s="41"/>
      <c r="EU8" s="39"/>
      <c r="EV8" s="40" t="s">
        <v>136</v>
      </c>
      <c r="EW8" s="38"/>
      <c r="EX8" s="39"/>
      <c r="EY8" s="19" t="s">
        <v>137</v>
      </c>
      <c r="EZ8" s="15"/>
      <c r="FA8" s="13"/>
      <c r="FB8" s="7"/>
      <c r="FC8" s="19" t="s">
        <v>116</v>
      </c>
      <c r="FD8" s="41"/>
      <c r="FE8" s="39"/>
      <c r="FF8" s="40" t="s">
        <v>136</v>
      </c>
      <c r="FG8" s="38"/>
      <c r="FH8" s="39"/>
      <c r="FI8" s="19" t="s">
        <v>137</v>
      </c>
      <c r="FJ8" s="15"/>
      <c r="FM8" s="54">
        <f>SUM(FM10:FM31)</f>
        <v>50.597999999999999</v>
      </c>
      <c r="FN8" s="54">
        <f>SUM(FN10:FN31)</f>
        <v>248</v>
      </c>
      <c r="FO8" s="54">
        <f t="shared" ref="FO8:FP8" si="0">SUM(FO10:FO31)</f>
        <v>1803.7</v>
      </c>
      <c r="FP8" s="54">
        <f t="shared" si="0"/>
        <v>1400.74</v>
      </c>
    </row>
    <row r="9" spans="2:172" ht="44.1">
      <c r="B9" s="190" t="s">
        <v>138</v>
      </c>
      <c r="C9" s="26" t="s">
        <v>139</v>
      </c>
      <c r="D9" s="26" t="s">
        <v>199</v>
      </c>
      <c r="E9" s="30" t="s">
        <v>140</v>
      </c>
      <c r="F9" s="122">
        <v>1</v>
      </c>
      <c r="G9" s="122">
        <v>2</v>
      </c>
      <c r="H9" s="122">
        <v>3</v>
      </c>
      <c r="I9" s="122">
        <v>4</v>
      </c>
      <c r="J9" s="122">
        <v>5</v>
      </c>
      <c r="K9" s="122">
        <v>6</v>
      </c>
      <c r="L9" s="122">
        <v>7</v>
      </c>
      <c r="M9" s="122">
        <v>8</v>
      </c>
      <c r="N9" s="122">
        <v>9</v>
      </c>
      <c r="O9" s="122">
        <v>10</v>
      </c>
      <c r="P9" s="122">
        <v>11</v>
      </c>
      <c r="Q9" s="122">
        <v>12</v>
      </c>
      <c r="R9" s="50" t="s">
        <v>145</v>
      </c>
      <c r="S9" s="30" t="s">
        <v>200</v>
      </c>
      <c r="T9" s="30" t="s">
        <v>201</v>
      </c>
      <c r="U9" s="30" t="s">
        <v>202</v>
      </c>
      <c r="V9" s="30" t="s">
        <v>13</v>
      </c>
      <c r="W9" s="53" t="s">
        <v>148</v>
      </c>
      <c r="X9" s="53" t="s">
        <v>149</v>
      </c>
      <c r="Y9" s="53" t="s">
        <v>150</v>
      </c>
      <c r="Z9" s="53" t="s">
        <v>151</v>
      </c>
      <c r="AA9" s="143" t="s">
        <v>152</v>
      </c>
      <c r="AB9" s="143"/>
      <c r="AC9" s="183" t="s">
        <v>203</v>
      </c>
      <c r="AD9" s="183" t="s">
        <v>204</v>
      </c>
      <c r="AE9" s="183" t="s">
        <v>203</v>
      </c>
      <c r="AF9" s="183" t="s">
        <v>204</v>
      </c>
      <c r="AG9" s="125" t="s">
        <v>205</v>
      </c>
      <c r="AH9" s="125" t="s">
        <v>206</v>
      </c>
      <c r="AI9" s="125" t="s">
        <v>207</v>
      </c>
      <c r="AJ9" s="125" t="s">
        <v>208</v>
      </c>
      <c r="AK9" s="125" t="s">
        <v>209</v>
      </c>
      <c r="AL9" s="125" t="s">
        <v>210</v>
      </c>
      <c r="AM9" s="125" t="s">
        <v>211</v>
      </c>
      <c r="AN9" s="125" t="s">
        <v>212</v>
      </c>
      <c r="AO9" s="47" t="s">
        <v>213</v>
      </c>
      <c r="AP9" s="125" t="s">
        <v>214</v>
      </c>
      <c r="AQ9" s="125" t="s">
        <v>215</v>
      </c>
      <c r="AR9" s="125" t="s">
        <v>216</v>
      </c>
      <c r="AS9" s="47" t="s">
        <v>450</v>
      </c>
      <c r="AT9" s="48" t="s">
        <v>154</v>
      </c>
      <c r="AU9" s="35" t="s">
        <v>155</v>
      </c>
      <c r="AV9" s="156" t="s">
        <v>156</v>
      </c>
      <c r="AW9" s="20" t="s">
        <v>157</v>
      </c>
      <c r="AX9" s="21" t="s">
        <v>165</v>
      </c>
      <c r="AY9" s="23" t="s">
        <v>159</v>
      </c>
      <c r="AZ9" s="21" t="s">
        <v>160</v>
      </c>
      <c r="BA9" s="21" t="s">
        <v>161</v>
      </c>
      <c r="BB9" s="21" t="s">
        <v>162</v>
      </c>
      <c r="BC9" s="21" t="s">
        <v>163</v>
      </c>
      <c r="BD9" s="23" t="s">
        <v>1111</v>
      </c>
      <c r="BE9" s="35" t="s">
        <v>155</v>
      </c>
      <c r="BF9" s="156" t="s">
        <v>156</v>
      </c>
      <c r="BG9" s="20" t="s">
        <v>157</v>
      </c>
      <c r="BH9" s="21" t="s">
        <v>165</v>
      </c>
      <c r="BI9" s="23" t="s">
        <v>159</v>
      </c>
      <c r="BJ9" s="21" t="s">
        <v>160</v>
      </c>
      <c r="BK9" s="21" t="s">
        <v>161</v>
      </c>
      <c r="BL9" s="21" t="s">
        <v>162</v>
      </c>
      <c r="BM9" s="21" t="s">
        <v>163</v>
      </c>
      <c r="BN9" s="23" t="s">
        <v>164</v>
      </c>
      <c r="BO9" s="35" t="s">
        <v>155</v>
      </c>
      <c r="BP9" s="156" t="s">
        <v>156</v>
      </c>
      <c r="BQ9" s="20" t="s">
        <v>157</v>
      </c>
      <c r="BR9" s="21" t="s">
        <v>165</v>
      </c>
      <c r="BS9" s="23" t="s">
        <v>159</v>
      </c>
      <c r="BT9" s="21" t="s">
        <v>160</v>
      </c>
      <c r="BU9" s="21" t="s">
        <v>161</v>
      </c>
      <c r="BV9" s="21" t="s">
        <v>162</v>
      </c>
      <c r="BW9" s="21" t="s">
        <v>163</v>
      </c>
      <c r="BX9" s="23" t="s">
        <v>164</v>
      </c>
      <c r="BY9" s="35" t="s">
        <v>155</v>
      </c>
      <c r="BZ9" s="156" t="s">
        <v>156</v>
      </c>
      <c r="CA9" s="20" t="s">
        <v>157</v>
      </c>
      <c r="CB9" s="21" t="s">
        <v>165</v>
      </c>
      <c r="CC9" s="23" t="s">
        <v>159</v>
      </c>
      <c r="CD9" s="21" t="s">
        <v>160</v>
      </c>
      <c r="CE9" s="21" t="s">
        <v>161</v>
      </c>
      <c r="CF9" s="21" t="s">
        <v>162</v>
      </c>
      <c r="CG9" s="21" t="s">
        <v>163</v>
      </c>
      <c r="CH9" s="23" t="s">
        <v>164</v>
      </c>
      <c r="CI9" s="35" t="s">
        <v>155</v>
      </c>
      <c r="CJ9" s="156" t="s">
        <v>156</v>
      </c>
      <c r="CK9" s="20" t="s">
        <v>157</v>
      </c>
      <c r="CL9" s="21" t="s">
        <v>165</v>
      </c>
      <c r="CM9" s="23" t="s">
        <v>159</v>
      </c>
      <c r="CN9" s="21" t="s">
        <v>160</v>
      </c>
      <c r="CO9" s="21" t="s">
        <v>161</v>
      </c>
      <c r="CP9" s="21" t="s">
        <v>162</v>
      </c>
      <c r="CQ9" s="21" t="s">
        <v>163</v>
      </c>
      <c r="CR9" s="23" t="s">
        <v>164</v>
      </c>
      <c r="CS9" s="35" t="s">
        <v>155</v>
      </c>
      <c r="CT9" s="156" t="s">
        <v>156</v>
      </c>
      <c r="CU9" s="20" t="s">
        <v>157</v>
      </c>
      <c r="CV9" s="21" t="s">
        <v>165</v>
      </c>
      <c r="CW9" s="23" t="s">
        <v>159</v>
      </c>
      <c r="CX9" s="21" t="s">
        <v>160</v>
      </c>
      <c r="CY9" s="21" t="s">
        <v>161</v>
      </c>
      <c r="CZ9" s="21" t="s">
        <v>162</v>
      </c>
      <c r="DA9" s="21" t="s">
        <v>163</v>
      </c>
      <c r="DB9" s="23" t="s">
        <v>164</v>
      </c>
      <c r="DC9" s="35" t="s">
        <v>155</v>
      </c>
      <c r="DD9" s="156" t="s">
        <v>156</v>
      </c>
      <c r="DE9" s="20" t="s">
        <v>157</v>
      </c>
      <c r="DF9" s="21" t="s">
        <v>165</v>
      </c>
      <c r="DG9" s="23" t="s">
        <v>159</v>
      </c>
      <c r="DH9" s="21" t="s">
        <v>160</v>
      </c>
      <c r="DI9" s="21" t="s">
        <v>161</v>
      </c>
      <c r="DJ9" s="21" t="s">
        <v>162</v>
      </c>
      <c r="DK9" s="21" t="s">
        <v>163</v>
      </c>
      <c r="DL9" s="23" t="s">
        <v>164</v>
      </c>
      <c r="DM9" s="35" t="s">
        <v>155</v>
      </c>
      <c r="DN9" s="156" t="s">
        <v>156</v>
      </c>
      <c r="DO9" s="20" t="s">
        <v>157</v>
      </c>
      <c r="DP9" s="21" t="s">
        <v>165</v>
      </c>
      <c r="DQ9" s="23" t="s">
        <v>159</v>
      </c>
      <c r="DR9" s="21" t="s">
        <v>160</v>
      </c>
      <c r="DS9" s="21" t="s">
        <v>161</v>
      </c>
      <c r="DT9" s="21" t="s">
        <v>162</v>
      </c>
      <c r="DU9" s="21" t="s">
        <v>163</v>
      </c>
      <c r="DV9" s="23" t="s">
        <v>164</v>
      </c>
      <c r="DW9" s="35" t="s">
        <v>155</v>
      </c>
      <c r="DX9" s="156" t="s">
        <v>156</v>
      </c>
      <c r="DY9" s="20" t="s">
        <v>157</v>
      </c>
      <c r="DZ9" s="21" t="s">
        <v>165</v>
      </c>
      <c r="EA9" s="23" t="s">
        <v>159</v>
      </c>
      <c r="EB9" s="21" t="s">
        <v>160</v>
      </c>
      <c r="EC9" s="21" t="s">
        <v>161</v>
      </c>
      <c r="ED9" s="21" t="s">
        <v>162</v>
      </c>
      <c r="EE9" s="21" t="s">
        <v>163</v>
      </c>
      <c r="EF9" s="23" t="s">
        <v>164</v>
      </c>
      <c r="EG9" s="35" t="s">
        <v>155</v>
      </c>
      <c r="EH9" s="26" t="s">
        <v>156</v>
      </c>
      <c r="EI9" s="20" t="s">
        <v>157</v>
      </c>
      <c r="EJ9" s="21" t="s">
        <v>165</v>
      </c>
      <c r="EK9" s="23" t="s">
        <v>159</v>
      </c>
      <c r="EL9" s="21" t="s">
        <v>160</v>
      </c>
      <c r="EM9" s="21" t="s">
        <v>161</v>
      </c>
      <c r="EN9" s="21" t="s">
        <v>162</v>
      </c>
      <c r="EO9" s="21" t="s">
        <v>163</v>
      </c>
      <c r="EP9" s="23" t="s">
        <v>164</v>
      </c>
      <c r="EQ9" s="35" t="s">
        <v>155</v>
      </c>
      <c r="ER9" s="26" t="s">
        <v>156</v>
      </c>
      <c r="ES9" s="20" t="s">
        <v>157</v>
      </c>
      <c r="ET9" s="21" t="s">
        <v>165</v>
      </c>
      <c r="EU9" s="23" t="s">
        <v>159</v>
      </c>
      <c r="EV9" s="21" t="s">
        <v>160</v>
      </c>
      <c r="EW9" s="21" t="s">
        <v>161</v>
      </c>
      <c r="EX9" s="21" t="s">
        <v>162</v>
      </c>
      <c r="EY9" s="21" t="s">
        <v>163</v>
      </c>
      <c r="EZ9" s="23" t="s">
        <v>164</v>
      </c>
      <c r="FA9" s="35" t="s">
        <v>155</v>
      </c>
      <c r="FB9" s="26" t="s">
        <v>156</v>
      </c>
      <c r="FC9" s="20" t="s">
        <v>157</v>
      </c>
      <c r="FD9" s="21" t="s">
        <v>165</v>
      </c>
      <c r="FE9" s="23" t="s">
        <v>159</v>
      </c>
      <c r="FF9" s="21" t="s">
        <v>160</v>
      </c>
      <c r="FG9" s="21" t="s">
        <v>161</v>
      </c>
      <c r="FH9" s="21" t="s">
        <v>162</v>
      </c>
      <c r="FI9" s="21" t="s">
        <v>163</v>
      </c>
      <c r="FJ9" s="23" t="s">
        <v>164</v>
      </c>
      <c r="FM9" s="24" t="s">
        <v>218</v>
      </c>
      <c r="FN9" s="24" t="s">
        <v>219</v>
      </c>
      <c r="FO9" s="24" t="s">
        <v>220</v>
      </c>
      <c r="FP9" s="24" t="s">
        <v>221</v>
      </c>
    </row>
    <row r="10" spans="2:172" ht="120.95">
      <c r="B10" t="s">
        <v>1112</v>
      </c>
      <c r="C10" s="187" t="s">
        <v>287</v>
      </c>
      <c r="D10" s="3" t="s">
        <v>224</v>
      </c>
      <c r="E10" s="28">
        <v>7</v>
      </c>
      <c r="F10" s="123" t="str">
        <f t="shared" ref="F10:F31" si="1">IF($E10&lt;F$9,"",IF(AND(AY10&gt;0.6,BB10&lt;=8,BC10=BD10),"○","×")&amp;CHAR(10)&amp;"[P・Q]"&amp;CHAR(10)&amp;IF(AY10="","--",IF(AY10&gt;0.6,"○","×"))&amp;IF(BB10="","・--",IF(BB10&lt;=8,"・○","・×")))</f>
        <v>○
[P・Q]
○・○</v>
      </c>
      <c r="G10" s="123" t="str">
        <f t="shared" ref="G10:G31" si="2">IF($E10&lt;G$9,"",IF(AND(BI10&gt;0.6,BL10&lt;=8,BM10=BN10),"○","×")&amp;CHAR(10)&amp;"[P・Q]"&amp;CHAR(10)&amp;IF(BI10="","--",IF(BI10&gt;0.6,"○","×"))&amp;IF(BL10="","・--",IF(BL10&lt;=8,"・○","・×")))</f>
        <v>×
[P・Q]
○・×</v>
      </c>
      <c r="H10" s="123" t="str">
        <f t="shared" ref="H10:H31" si="3">IF($E10&lt;H$9,"",IF(AND(BS10&gt;0.6,BV10&lt;=8,BW10=BX10),"○","×")&amp;CHAR(10)&amp;"[P・Q]"&amp;CHAR(10)&amp;IF(BS10="","--",IF(BS10&gt;0.6,"○","×"))&amp;IF(BV10="","・--",IF(BV10&lt;=8,"・○","・×")))</f>
        <v>○
[P・Q]
○・○</v>
      </c>
      <c r="I10" s="123" t="str">
        <f t="shared" ref="I10:I31" si="4">IF($E10&lt;I$9,"",IF(AND(CC10&gt;0.6,CF10&lt;=8,CG10=CH10),"○","×")&amp;CHAR(10)&amp;"[P・Q]"&amp;CHAR(10)&amp;IF(CC10="","--",IF(CC10&gt;0.6,"○","×"))&amp;IF(CF10="","・--",IF(CF10&lt;=8,"・○","・×")))</f>
        <v>×
[P・Q]
○・×</v>
      </c>
      <c r="J10" s="123" t="str">
        <f t="shared" ref="J10:J31" si="5">IF($E10&lt;J$9,"",IF(AND(CM10&gt;0.6,CP10&lt;=8,CQ10=CR10),"○","×")&amp;CHAR(10)&amp;"[P・Q]"&amp;CHAR(10)&amp;IF(CM10="","--",IF(CM10&gt;0.6,"○","×"))&amp;IF(CP10="","・--",IF(CP10&lt;=8,"・○","・×")))</f>
        <v>×
[P・Q]
○・--</v>
      </c>
      <c r="K10" s="123" t="str">
        <f t="shared" ref="K10:K31" si="6">IF($E10&lt;K$9,"",IF(AND(CW10&gt;0.6,CZ10&lt;=8,DA10=DB10),"○","×")&amp;CHAR(10)&amp;"[P・Q]"&amp;CHAR(10)&amp;IF(CW10="","--",IF(CW10&gt;0.6,"○","×"))&amp;IF(DA10="","・--",IF(DA10&lt;=8,"・○","・×")))</f>
        <v>×
[P・Q]
○・○</v>
      </c>
      <c r="L10" s="123" t="str">
        <f t="shared" ref="L10:L31" si="7">IF($E10&lt;L$9,"",IF(AND(DG10&gt;0.6,DJ10&lt;=8,DK10=DL10),"○","×")&amp;CHAR(10)&amp;"[P・Q]"&amp;CHAR(10)&amp;IF(DG10="","--",IF(DG10&gt;0.6,"○","×"))&amp;IF(DJ10="","・--",IF(DJ10&lt;=8,"・○","・×")))</f>
        <v>×
[P・Q]
○・--</v>
      </c>
      <c r="M10" s="123" t="str">
        <f t="shared" ref="M10:M31" si="8">IF($E10&lt;M$9,"",IF(AND(DQ10&gt;0.6,DT10&lt;=8,DU10=DV10),"○","×")&amp;CHAR(10)&amp;"[P・Q]"&amp;CHAR(10)&amp;IF(DQ10="","--",IF(DQ10&gt;0.6,"○","×"))&amp;IF(DT10="","・--",IF(DT10&lt;=8,"・○","・×")))</f>
        <v/>
      </c>
      <c r="N10" s="123" t="str">
        <f t="shared" ref="N10:N31" si="9">IF($E10&lt;N$9,"",IF(AND(EA10&gt;0.6,ED10&lt;=8,EE10=EF10),"○","×")&amp;CHAR(10)&amp;"[P・Q]"&amp;CHAR(10)&amp;IF(EA10="","--",IF(EA10&gt;0.6,"○","×"))&amp;IF(ED10="","・--",IF(ED10&lt;=8,"・○","・×")))</f>
        <v/>
      </c>
      <c r="O10" s="123" t="str">
        <f t="shared" ref="O10:O31" si="10">IF($E10&lt;O$9,"",IF(AND(EK10&gt;0.6,EN10&lt;=8,EO10=EP10),"○","×")&amp;CHAR(10)&amp;"[P・Q]"&amp;CHAR(10)&amp;IF(EK10="","--",IF(EK10&gt;0.6,"○","×"))&amp;IF(EN10="","・--",IF(EN10&lt;=8,"・○","・×")))</f>
        <v/>
      </c>
      <c r="P10" s="123" t="str">
        <f t="shared" ref="P10:P31" si="11">IF($E10&lt;P$9,"",IF(AND(EU10&gt;0.6,EX10&lt;=8,EY10=EZ10),"○","×")&amp;CHAR(10)&amp;"[P・Q]"&amp;CHAR(10)&amp;IF(EU10="","--",IF(EU10&gt;0.6,"○","×"))&amp;IF(EX10="","・--",IF(EX10&lt;=8,"・○","・×")))</f>
        <v/>
      </c>
      <c r="Q10" s="123" t="str">
        <f t="shared" ref="Q10:Q31" si="12">IF($E10&lt;Q$9,"",IF(AND(FE10&gt;0.6,FH10&lt;=8,FI10=FJ10),"○","×")&amp;CHAR(10)&amp;"[P・Q]"&amp;CHAR(10)&amp;IF(FE10="","--",IF(FE10&gt;0.6,"○","×"))&amp;IF(FH10="","・--",IF(FH10&lt;=8,"・○","・×")))</f>
        <v/>
      </c>
      <c r="R10" s="76">
        <f t="shared" ref="R10:R31" si="13">COUNTIF(AU10:FJ10,"○")/E10</f>
        <v>1</v>
      </c>
      <c r="S10" s="28">
        <v>5</v>
      </c>
      <c r="T10" s="28">
        <v>5</v>
      </c>
      <c r="U10" s="28">
        <v>3</v>
      </c>
      <c r="V10" s="28">
        <v>4</v>
      </c>
      <c r="W10" s="77">
        <f t="shared" ref="W10:W31" si="14">((COUNTIF(AY10,"&gt;=0.6")+COUNTIF(BI10,"&gt;=0.6")+COUNTIF(BS10,"&gt;=0.6")+COUNTIF(CC10,"&gt;=0.6")+COUNTIF(CM10,"&gt;=0.6")+COUNTIF(CW10,"&gt;=0.6")+COUNTIF(DG10,"&gt;=0.6")+COUNTIF(DQ10,"&gt;=0.6")+COUNTIF(EA10,"&gt;=0.6")+COUNTIF(EK10,"&gt;=0.6")+COUNTIF(EU10,"&gt;=0.6")+COUNTIF(FE10,"&gt;=0.6"))*(75/(E10*2)))</f>
        <v>37.5</v>
      </c>
      <c r="X10" s="77">
        <f t="shared" ref="X10:X31" si="15">((COUNTIF(BB10,"&lt;=8")+COUNTIF(BL10,"&lt;=8")+COUNTIF(BV10,"&lt;=8")+COUNTIF(CF10,"&lt;=8")+COUNTIF(CP10,"&lt;=8")+COUNTIF(CZ10,"&lt;=8")+COUNTIF(DJ10,"&lt;=8")+COUNTIF(DT10,"&lt;=8")+COUNTIF(ED10,"&lt;=8")+COUNTIF(EN10,"&lt;=8")+COUNTIF(EX10,"&lt;=8")+COUNTIF(FH10,"&lt;=8"))*(75/(E10*2)))</f>
        <v>10.714285714285714</v>
      </c>
      <c r="Y10" s="77" cm="1">
        <f t="array" ref="Y10">_xlfn.IFS(R10&gt;=0.8,5,R10&gt;=0.6,3,R10&gt;=0.2,1,R10&lt;0.2,0)</f>
        <v>5</v>
      </c>
      <c r="Z10" s="140">
        <f>SUM(S10:Y10)</f>
        <v>70.214285714285708</v>
      </c>
      <c r="AA10" s="29" t="s">
        <v>1113</v>
      </c>
      <c r="AB10" s="29" t="s">
        <v>1114</v>
      </c>
      <c r="AC10" s="5"/>
      <c r="AD10" s="189"/>
      <c r="AE10" s="5"/>
      <c r="AF10" s="5"/>
      <c r="AG10" s="5"/>
      <c r="AH10" s="201">
        <f t="shared" ref="AH10:AH26" si="16">IFERROR(AVERAGE(AY10,BI10,BS10,CC10,CM10,CW10,DG10,DQ10,EA10,EK10,EU10)," ")</f>
        <v>1.1494379185629187</v>
      </c>
      <c r="AI10" s="202">
        <f t="shared" ref="AI10:AI26" si="17">IFERROR(AVERAGE(BB10,BL10,BV10,CF10,CP10,CZ10,DJ10,DT10,ED10,EN10,EX10)," ")</f>
        <v>20.166985947723202</v>
      </c>
      <c r="AJ10" s="80" t="str">
        <f t="shared" ref="AJ10:AJ26" si="18">IFERROR(IF(AH10&gt;=0.6,"HIGH","LOW"),"")</f>
        <v>HIGH</v>
      </c>
      <c r="AK10" s="80" t="str">
        <f t="shared" ref="AK10:AK26" si="19">IFERROR(IF(AI10&lt;=8,"HIGH","LOW"),"")</f>
        <v>LOW</v>
      </c>
      <c r="AL10" s="5"/>
      <c r="AM10" s="5"/>
      <c r="AN10" s="162" t="str">
        <f>IF(AND(Z10&gt;Summary!$C$5, Z10&lt;=Summary!$D$5),Summary!$B$5,IF(AND(Z10&gt;Summary!$C$6, Z10&lt;=Summary!$D$6),Summary!$B$6,IF(AND(Z10&gt;Summary!$C$7, Z10&lt;=Summary!$D$7),Summary!$B$7,Summary!$B$8)))</f>
        <v>◎</v>
      </c>
      <c r="AO10" s="127" t="s">
        <v>389</v>
      </c>
      <c r="AP10" s="127" t="s">
        <v>303</v>
      </c>
      <c r="AQ10" s="14"/>
      <c r="AR10" s="14"/>
      <c r="AS10" s="14"/>
      <c r="AT10" s="29" t="s">
        <v>576</v>
      </c>
      <c r="AU10" s="36" t="s">
        <v>1115</v>
      </c>
      <c r="AV10" s="157" t="s">
        <v>168</v>
      </c>
      <c r="AW10" s="6">
        <v>11</v>
      </c>
      <c r="AX10" s="6">
        <v>16</v>
      </c>
      <c r="AY10" s="33">
        <f>IF(AX10="","",AW10/AX10)</f>
        <v>0.6875</v>
      </c>
      <c r="AZ10" s="42">
        <v>0.25600000000000001</v>
      </c>
      <c r="BA10" s="3">
        <v>1</v>
      </c>
      <c r="BB10" s="37">
        <f t="shared" ref="BB10:BB15" si="20">IF(BA10="","",BA10/AZ10)</f>
        <v>3.90625</v>
      </c>
      <c r="BC10" s="3">
        <v>1</v>
      </c>
      <c r="BD10" s="3">
        <v>1</v>
      </c>
      <c r="BE10" s="36" t="s">
        <v>1116</v>
      </c>
      <c r="BF10" s="157" t="s">
        <v>168</v>
      </c>
      <c r="BG10" s="6">
        <v>26.2</v>
      </c>
      <c r="BH10" s="6">
        <v>16</v>
      </c>
      <c r="BI10" s="33">
        <f>IF(BH10="","",BG10/BH10)</f>
        <v>1.6375</v>
      </c>
      <c r="BJ10" s="42">
        <v>0.35899999999999999</v>
      </c>
      <c r="BK10" s="3">
        <v>3</v>
      </c>
      <c r="BL10" s="37">
        <f>IF(BK10="","",BK10/BJ10)</f>
        <v>8.3565459610027855</v>
      </c>
      <c r="BM10" s="3">
        <v>3</v>
      </c>
      <c r="BN10" s="3">
        <v>3</v>
      </c>
      <c r="BO10" s="80" t="s">
        <v>1117</v>
      </c>
      <c r="BP10" s="157" t="s">
        <v>168</v>
      </c>
      <c r="BQ10" s="6">
        <v>16.100000000000001</v>
      </c>
      <c r="BR10" s="6">
        <v>12.5</v>
      </c>
      <c r="BS10" s="33">
        <f>IF(BR10="","",BQ10/BR10)</f>
        <v>1.288</v>
      </c>
      <c r="BT10" s="42">
        <v>0.438</v>
      </c>
      <c r="BU10" s="3">
        <v>2</v>
      </c>
      <c r="BV10" s="37">
        <f>IF(BU10="","",BU10/BT10)</f>
        <v>4.5662100456621006</v>
      </c>
      <c r="BW10" s="3">
        <v>2</v>
      </c>
      <c r="BX10" s="3">
        <v>2</v>
      </c>
      <c r="BY10" s="36" t="s">
        <v>1118</v>
      </c>
      <c r="BZ10" s="157" t="s">
        <v>168</v>
      </c>
      <c r="CA10" s="6">
        <v>11.1</v>
      </c>
      <c r="CB10" s="6">
        <v>13</v>
      </c>
      <c r="CC10" s="33">
        <f>IF(CB10="","",CA10/CB10)</f>
        <v>0.85384615384615381</v>
      </c>
      <c r="CD10" s="42">
        <v>0.36499999999999999</v>
      </c>
      <c r="CE10" s="3">
        <v>6</v>
      </c>
      <c r="CF10" s="37">
        <f>IF(CE10="","",CE10/CD10)</f>
        <v>16.438356164383563</v>
      </c>
      <c r="CG10" s="3">
        <v>6</v>
      </c>
      <c r="CH10" s="3">
        <v>6</v>
      </c>
      <c r="CI10" s="36" t="s">
        <v>1119</v>
      </c>
      <c r="CJ10" s="157" t="s">
        <v>168</v>
      </c>
      <c r="CK10" s="6">
        <v>16</v>
      </c>
      <c r="CL10" s="6">
        <v>13.5</v>
      </c>
      <c r="CM10" s="33">
        <f>IF(CL10="","",CK10/CL10)</f>
        <v>1.1851851851851851</v>
      </c>
      <c r="CN10" s="42">
        <v>0.22800000000000001</v>
      </c>
      <c r="CO10" s="3"/>
      <c r="CP10" s="37" t="str">
        <f>IF(CO10="","",CO10/CN10)</f>
        <v/>
      </c>
      <c r="CQ10" s="3">
        <v>0</v>
      </c>
      <c r="CR10" s="3"/>
      <c r="CS10" s="36" t="s">
        <v>1120</v>
      </c>
      <c r="CT10" s="157" t="s">
        <v>168</v>
      </c>
      <c r="CU10" s="6">
        <v>10.9</v>
      </c>
      <c r="CV10" s="6">
        <v>11</v>
      </c>
      <c r="CW10" s="33">
        <f>IF(CV10="","",CU10/CV10)</f>
        <v>0.99090909090909096</v>
      </c>
      <c r="CX10" s="42">
        <v>7.3999999999999996E-2</v>
      </c>
      <c r="CY10" s="3">
        <v>5</v>
      </c>
      <c r="CZ10" s="37">
        <f>IF(CY10="","",CY10/CX10)</f>
        <v>67.567567567567565</v>
      </c>
      <c r="DA10" s="3">
        <v>5</v>
      </c>
      <c r="DB10" s="3">
        <v>5</v>
      </c>
      <c r="DC10" s="36" t="s">
        <v>1121</v>
      </c>
      <c r="DD10" s="157" t="s">
        <v>168</v>
      </c>
      <c r="DE10" s="6">
        <v>22.45</v>
      </c>
      <c r="DF10" s="6">
        <v>16</v>
      </c>
      <c r="DG10" s="33">
        <f>IF(DF10="","",DE10/DF10)</f>
        <v>1.403125</v>
      </c>
      <c r="DH10" s="42">
        <v>1.792</v>
      </c>
      <c r="DI10" s="3"/>
      <c r="DJ10" s="37" t="str">
        <f>IF(DI10="","",DI10/DH10)</f>
        <v/>
      </c>
      <c r="DK10" s="3"/>
      <c r="DL10" s="3"/>
      <c r="DM10" s="36"/>
      <c r="DN10" s="157"/>
      <c r="DO10" s="6"/>
      <c r="DP10" s="6"/>
      <c r="DQ10" s="33" t="str">
        <f>IF(DP10="","",DO10/DP10)</f>
        <v/>
      </c>
      <c r="DR10" s="42"/>
      <c r="DS10" s="3"/>
      <c r="DT10" s="37" t="str">
        <f>IF(DS10="","",DS10/DR10)</f>
        <v/>
      </c>
      <c r="DU10" s="3"/>
      <c r="DV10" s="3"/>
      <c r="DW10" s="36"/>
      <c r="DX10" s="157"/>
      <c r="DY10" s="6"/>
      <c r="DZ10" s="6"/>
      <c r="EA10" s="33" t="str">
        <f>IF(DZ10="","",DY10/DZ10)</f>
        <v/>
      </c>
      <c r="EB10" s="42"/>
      <c r="EC10" s="3"/>
      <c r="ED10" s="37" t="str">
        <f>IF(EC10="","",EC10/EB10)</f>
        <v/>
      </c>
      <c r="EE10" s="3"/>
      <c r="EF10" s="3"/>
      <c r="EG10" s="36"/>
      <c r="EH10" s="4"/>
      <c r="EI10" s="6"/>
      <c r="EJ10" s="6"/>
      <c r="EK10" s="33" t="str">
        <f>IF(EJ10="","",EI10/EJ10)</f>
        <v/>
      </c>
      <c r="EL10" s="42"/>
      <c r="EM10" s="3"/>
      <c r="EN10" s="37" t="str">
        <f>IF(EM10="","",EM10/EL10)</f>
        <v/>
      </c>
      <c r="EO10" s="3"/>
      <c r="EP10" s="3"/>
      <c r="EQ10" s="36"/>
      <c r="ER10" s="4"/>
      <c r="ES10" s="6"/>
      <c r="ET10" s="6"/>
      <c r="EU10" s="33" t="str">
        <f>IF(ET10="","",ES10/ET10)</f>
        <v/>
      </c>
      <c r="EV10" s="42"/>
      <c r="EW10" s="3"/>
      <c r="EX10" s="37" t="str">
        <f>IF(EW10="","",EW10/EV10)</f>
        <v/>
      </c>
      <c r="EY10" s="3"/>
      <c r="EZ10" s="3"/>
      <c r="FA10" s="36"/>
      <c r="FB10" s="4"/>
      <c r="FC10" s="6"/>
      <c r="FD10" s="6"/>
      <c r="FE10" s="33" t="str">
        <f>IF(FD10="","",FC10/FD10)</f>
        <v/>
      </c>
      <c r="FF10" s="42"/>
      <c r="FG10" s="3"/>
      <c r="FH10" s="37" t="str">
        <f>IF(FG10="","",FG10/FF10)</f>
        <v/>
      </c>
      <c r="FI10" s="3"/>
      <c r="FJ10" s="3"/>
      <c r="FM10" s="54">
        <f>SUM(FF10,EV10,EL10,EB10,DR10,DH10,CX10,CN10,CD10,BT10,BJ10,AZ10)</f>
        <v>3.5120000000000005</v>
      </c>
      <c r="FN10" s="54">
        <f>SUM(FG10,EW10,EM10,EC10,DS10,DI10,CY10,CO10,CE10,BU10,BK10,BA10)</f>
        <v>17</v>
      </c>
      <c r="FO10" s="471">
        <f>SUM(FC10,ES10,EI10,DY10,DO10,DE10,CU10,CK10,CA10,BQ10,BG10,AW10)</f>
        <v>113.75000000000001</v>
      </c>
      <c r="FP10" s="471">
        <f>SUM(FD10,ET10,EJ10,DZ10,DP10,DF10,CV10,CL10,CB10,BR10,BH10,AX10)</f>
        <v>98</v>
      </c>
    </row>
    <row r="11" spans="2:172" ht="100.35" customHeight="1">
      <c r="B11" t="s">
        <v>1122</v>
      </c>
      <c r="C11" s="187" t="s">
        <v>300</v>
      </c>
      <c r="D11" s="3" t="s">
        <v>224</v>
      </c>
      <c r="E11" s="28">
        <v>6</v>
      </c>
      <c r="F11" s="123" t="str">
        <f>IF($E11&lt;F$9,"",IF(AND(AY11&gt;0.6,BB11&lt;=8,BC11=BD11),"○","×")&amp;CHAR(10)&amp;"[P・Q]"&amp;CHAR(10)&amp;IF(AY11="","--",IF(AY11&gt;0.6,"○","×"))&amp;IF(BB11="","・--",IF(BB11&lt;=8,"・○","・×")))</f>
        <v>×
[P・Q]
○・×</v>
      </c>
      <c r="G11" s="123" t="str">
        <f t="shared" si="2"/>
        <v>○
[P・Q]
○・○</v>
      </c>
      <c r="H11" s="123" t="str">
        <f t="shared" si="3"/>
        <v>○
[P・Q]
○・○</v>
      </c>
      <c r="I11" s="123" t="str">
        <f t="shared" si="4"/>
        <v>○
[P・Q]
○・○</v>
      </c>
      <c r="J11" s="123" t="str">
        <f t="shared" si="5"/>
        <v>×
[P・Q]
○・×</v>
      </c>
      <c r="K11" s="123" t="str">
        <f t="shared" si="6"/>
        <v>×
[P・Q]
○・--</v>
      </c>
      <c r="L11" s="123" t="str">
        <f t="shared" si="7"/>
        <v/>
      </c>
      <c r="M11" s="123" t="str">
        <f t="shared" si="8"/>
        <v/>
      </c>
      <c r="N11" s="123" t="str">
        <f t="shared" si="9"/>
        <v/>
      </c>
      <c r="O11" s="123" t="str">
        <f t="shared" si="10"/>
        <v/>
      </c>
      <c r="P11" s="123" t="str">
        <f t="shared" si="11"/>
        <v/>
      </c>
      <c r="Q11" s="123" t="str">
        <f t="shared" si="12"/>
        <v/>
      </c>
      <c r="R11" s="76">
        <f t="shared" si="13"/>
        <v>1</v>
      </c>
      <c r="S11" s="28">
        <v>5</v>
      </c>
      <c r="T11" s="28">
        <v>5</v>
      </c>
      <c r="U11" s="28">
        <v>4</v>
      </c>
      <c r="V11" s="28">
        <v>5</v>
      </c>
      <c r="W11" s="77">
        <f t="shared" si="14"/>
        <v>37.5</v>
      </c>
      <c r="X11" s="77">
        <f t="shared" si="15"/>
        <v>18.75</v>
      </c>
      <c r="Y11" s="77" cm="1">
        <f t="array" ref="Y11">_xlfn.IFS(R11&gt;=0.8,5,R11&gt;=0.6,3,R11&gt;=0.2,1,R11&lt;0.2,0)</f>
        <v>5</v>
      </c>
      <c r="Z11" s="140">
        <f t="shared" ref="Z11:Z26" si="21">SUM(S11:Y11)</f>
        <v>80.25</v>
      </c>
      <c r="AA11" s="5" t="s">
        <v>1123</v>
      </c>
      <c r="AB11" s="5" t="s">
        <v>1124</v>
      </c>
      <c r="AC11" s="5"/>
      <c r="AD11" s="189"/>
      <c r="AE11" s="5"/>
      <c r="AF11" s="5"/>
      <c r="AG11" s="142"/>
      <c r="AH11" s="201">
        <f t="shared" si="16"/>
        <v>2.8401685505852172</v>
      </c>
      <c r="AI11" s="202">
        <f t="shared" si="17"/>
        <v>14.90670873877832</v>
      </c>
      <c r="AJ11" s="80" t="str">
        <f t="shared" si="18"/>
        <v>HIGH</v>
      </c>
      <c r="AK11" s="80" t="str">
        <f t="shared" si="19"/>
        <v>LOW</v>
      </c>
      <c r="AL11" s="142"/>
      <c r="AM11" s="238"/>
      <c r="AN11" s="128" t="str">
        <f>IF(AND(Z11&gt;Summary!$C$5, Z11&lt;=Summary!$D$5),Summary!$B$5,IF(AND(Z11&gt;Summary!$C$6, Z11&lt;=Summary!$D$6),Summary!$B$6,IF(AND(Z11&gt;Summary!$C$7, Z11&lt;=Summary!$D$7),Summary!$B$7,Summary!$B$8)))</f>
        <v>◎</v>
      </c>
      <c r="AO11" s="127" t="s">
        <v>389</v>
      </c>
      <c r="AP11" s="127" t="s">
        <v>168</v>
      </c>
      <c r="AQ11" s="14"/>
      <c r="AR11" s="14"/>
      <c r="AS11" s="14"/>
      <c r="AT11" s="29" t="s">
        <v>576</v>
      </c>
      <c r="AU11" s="36" t="s">
        <v>1125</v>
      </c>
      <c r="AV11" s="157" t="s">
        <v>168</v>
      </c>
      <c r="AW11" s="6">
        <v>11.6</v>
      </c>
      <c r="AX11" s="6">
        <v>7</v>
      </c>
      <c r="AY11" s="33">
        <f>IF(AX11="","",AW11/AX11)</f>
        <v>1.657142857142857</v>
      </c>
      <c r="AZ11" s="42">
        <v>0.47499999999999998</v>
      </c>
      <c r="BA11" s="3">
        <v>14</v>
      </c>
      <c r="BB11" s="37">
        <f t="shared" si="20"/>
        <v>29.473684210526319</v>
      </c>
      <c r="BC11" s="3">
        <v>14</v>
      </c>
      <c r="BD11" s="3">
        <v>14</v>
      </c>
      <c r="BE11" s="36" t="s">
        <v>1126</v>
      </c>
      <c r="BF11" s="157" t="s">
        <v>168</v>
      </c>
      <c r="BG11" s="6">
        <v>23.2</v>
      </c>
      <c r="BH11" s="6">
        <v>14</v>
      </c>
      <c r="BI11" s="33">
        <f t="shared" ref="BI11:BI31" si="22">IF(BH11="","",BG11/BH11)</f>
        <v>1.657142857142857</v>
      </c>
      <c r="BJ11" s="42">
        <v>0.76700000000000002</v>
      </c>
      <c r="BK11" s="3">
        <v>5</v>
      </c>
      <c r="BL11" s="37">
        <f t="shared" ref="BL11:BL31" si="23">IF(BK11="","",BK11/BJ11)</f>
        <v>6.5189048239895699</v>
      </c>
      <c r="BM11" s="3">
        <v>5</v>
      </c>
      <c r="BN11" s="3">
        <v>5</v>
      </c>
      <c r="BO11" s="36" t="s">
        <v>1127</v>
      </c>
      <c r="BP11" s="157" t="s">
        <v>168</v>
      </c>
      <c r="BQ11" s="6">
        <v>46</v>
      </c>
      <c r="BR11" s="6">
        <v>13.5</v>
      </c>
      <c r="BS11" s="33">
        <f t="shared" ref="BS11:BS31" si="24">IF(BR11="","",BQ11/BR11)</f>
        <v>3.4074074074074074</v>
      </c>
      <c r="BT11" s="42">
        <v>3.1680000000000001</v>
      </c>
      <c r="BU11" s="3">
        <v>3</v>
      </c>
      <c r="BV11" s="37">
        <f t="shared" ref="BV11:BV31" si="25">IF(BU11="","",BU11/BT11)</f>
        <v>0.94696969696969691</v>
      </c>
      <c r="BW11" s="3">
        <v>3</v>
      </c>
      <c r="BX11" s="3">
        <v>3</v>
      </c>
      <c r="BY11" s="36" t="s">
        <v>1128</v>
      </c>
      <c r="BZ11" s="157" t="s">
        <v>168</v>
      </c>
      <c r="CA11" s="6">
        <v>10.9</v>
      </c>
      <c r="CB11" s="6">
        <v>5.5</v>
      </c>
      <c r="CC11" s="33">
        <f>IF(CB11="","",CA11/CB11)</f>
        <v>1.9818181818181819</v>
      </c>
      <c r="CD11" s="42">
        <v>7.5999999999999998E-2</v>
      </c>
      <c r="CE11" s="3">
        <v>4</v>
      </c>
      <c r="CF11" s="37">
        <v>0</v>
      </c>
      <c r="CG11" s="3">
        <v>4</v>
      </c>
      <c r="CH11" s="3">
        <v>4</v>
      </c>
      <c r="CI11" s="36" t="s">
        <v>1129</v>
      </c>
      <c r="CJ11" s="157" t="s">
        <v>168</v>
      </c>
      <c r="CK11" s="6">
        <v>10.9</v>
      </c>
      <c r="CL11" s="6">
        <v>4</v>
      </c>
      <c r="CM11" s="33">
        <f t="shared" ref="CM11:CM31" si="26">IF(CL11="","",CK11/CL11)</f>
        <v>2.7250000000000001</v>
      </c>
      <c r="CN11" s="42">
        <v>0.13300000000000001</v>
      </c>
      <c r="CO11" s="3">
        <v>5</v>
      </c>
      <c r="CP11" s="37">
        <f t="shared" ref="CP11:CP31" si="27">IF(CO11="","",CO11/CN11)</f>
        <v>37.593984962406012</v>
      </c>
      <c r="CQ11" s="3">
        <v>5</v>
      </c>
      <c r="CR11" s="3">
        <v>5</v>
      </c>
      <c r="CS11" s="36" t="s">
        <v>1130</v>
      </c>
      <c r="CT11" s="157" t="s">
        <v>168</v>
      </c>
      <c r="CU11" s="6">
        <v>22.45</v>
      </c>
      <c r="CV11" s="6">
        <v>4</v>
      </c>
      <c r="CW11" s="33">
        <f>IF(CV11="","",CU11/CV11)</f>
        <v>5.6124999999999998</v>
      </c>
      <c r="CX11" s="42">
        <v>0.88</v>
      </c>
      <c r="CY11" s="3"/>
      <c r="CZ11" s="37" t="str">
        <f t="shared" ref="CZ11:CZ31" si="28">IF(CY11="","",CY11/CX11)</f>
        <v/>
      </c>
      <c r="DA11" s="3"/>
      <c r="DB11" s="3"/>
      <c r="DC11" s="36"/>
      <c r="DD11" s="157"/>
      <c r="DE11" s="6"/>
      <c r="DF11" s="6"/>
      <c r="DG11" s="33" t="str">
        <f t="shared" ref="DG11:DG31" si="29">IF(DF11="","",DE11/DF11)</f>
        <v/>
      </c>
      <c r="DH11" s="42"/>
      <c r="DI11" s="3"/>
      <c r="DJ11" s="37" t="str">
        <f t="shared" ref="DJ11:DJ31" si="30">IF(DI11="","",DI11/DH11)</f>
        <v/>
      </c>
      <c r="DK11" s="3"/>
      <c r="DL11" s="3"/>
      <c r="DM11" s="36"/>
      <c r="DN11" s="157"/>
      <c r="DO11" s="6"/>
      <c r="DP11" s="6"/>
      <c r="DQ11" s="33" t="str">
        <f t="shared" ref="DQ11:DQ31" si="31">IF(DP11="","",DO11/DP11)</f>
        <v/>
      </c>
      <c r="DR11" s="42"/>
      <c r="DS11" s="3"/>
      <c r="DT11" s="37" t="str">
        <f t="shared" ref="DT11:DT31" si="32">IF(DS11="","",DS11/DR11)</f>
        <v/>
      </c>
      <c r="DU11" s="3"/>
      <c r="DV11" s="3"/>
      <c r="DW11" s="36"/>
      <c r="DX11" s="157"/>
      <c r="DY11" s="6"/>
      <c r="DZ11" s="6"/>
      <c r="EA11" s="33" t="str">
        <f t="shared" ref="EA11:EA31" si="33">IF(DZ11="","",DY11/DZ11)</f>
        <v/>
      </c>
      <c r="EB11" s="42"/>
      <c r="EC11" s="3"/>
      <c r="ED11" s="37" t="str">
        <f t="shared" ref="ED11:ED31" si="34">IF(EC11="","",EC11/EB11)</f>
        <v/>
      </c>
      <c r="EE11" s="3"/>
      <c r="EF11" s="3"/>
      <c r="EG11" s="36"/>
      <c r="EH11" s="4"/>
      <c r="EI11" s="6"/>
      <c r="EJ11" s="6"/>
      <c r="EK11" s="33" t="str">
        <f t="shared" ref="EK11:EK31" si="35">IF(EJ11="","",EI11/EJ11)</f>
        <v/>
      </c>
      <c r="EL11" s="42"/>
      <c r="EM11" s="3"/>
      <c r="EN11" s="37" t="str">
        <f t="shared" ref="EN11:EN31" si="36">IF(EM11="","",EM11/EL11)</f>
        <v/>
      </c>
      <c r="EO11" s="3"/>
      <c r="EP11" s="3"/>
      <c r="EQ11" s="36"/>
      <c r="ER11" s="4"/>
      <c r="ES11" s="6"/>
      <c r="ET11" s="6"/>
      <c r="EU11" s="33" t="str">
        <f t="shared" ref="EU11:EU31" si="37">IF(ET11="","",ES11/ET11)</f>
        <v/>
      </c>
      <c r="EV11" s="42"/>
      <c r="EW11" s="3"/>
      <c r="EX11" s="37" t="str">
        <f t="shared" ref="EX11:EX31" si="38">IF(EW11="","",EW11/EV11)</f>
        <v/>
      </c>
      <c r="EY11" s="3"/>
      <c r="EZ11" s="3"/>
      <c r="FA11" s="36"/>
      <c r="FB11" s="4"/>
      <c r="FC11" s="6"/>
      <c r="FD11" s="6"/>
      <c r="FE11" s="33" t="str">
        <f t="shared" ref="FE11:FE31" si="39">IF(FD11="","",FC11/FD11)</f>
        <v/>
      </c>
      <c r="FF11" s="42"/>
      <c r="FG11" s="3"/>
      <c r="FH11" s="37" t="str">
        <f t="shared" ref="FH11:FH31" si="40">IF(FG11="","",FG11/FF11)</f>
        <v/>
      </c>
      <c r="FI11" s="3"/>
      <c r="FJ11" s="3"/>
      <c r="FM11" s="54">
        <f>SUM(FF11,EV11,EL11,EB11,DR11,DH11,CX11,CN11,CD11,BT11,BJ11,AZ11)</f>
        <v>5.4989999999999997</v>
      </c>
      <c r="FN11" s="54">
        <f>SUM(FG11,EW11,EM11,EC11,DS11,DI11,CY11,CO11,CE11,BU11,BK11,BA11)</f>
        <v>31</v>
      </c>
      <c r="FO11" s="471">
        <f t="shared" ref="FO11:FP31" si="41">SUM(FC11,ES11,EI11,DY11,DO11,DE11,CU11,CK11,CA11,BQ11,BG11,AW11)</f>
        <v>125.05</v>
      </c>
      <c r="FP11" s="471">
        <f t="shared" si="41"/>
        <v>48</v>
      </c>
    </row>
    <row r="12" spans="2:172" ht="87.95">
      <c r="B12" s="92" t="s">
        <v>1131</v>
      </c>
      <c r="C12" s="3" t="s">
        <v>223</v>
      </c>
      <c r="D12" s="3" t="s">
        <v>224</v>
      </c>
      <c r="E12" s="28">
        <v>5</v>
      </c>
      <c r="F12" s="123" t="str">
        <f t="shared" si="1"/>
        <v>×
[P・Q]
○・×</v>
      </c>
      <c r="G12" s="123" t="str">
        <f t="shared" si="2"/>
        <v>×
[P・Q]
○・--</v>
      </c>
      <c r="H12" s="123" t="str">
        <f t="shared" si="3"/>
        <v>×
[P・Q]
○・--</v>
      </c>
      <c r="I12" s="123" t="str">
        <f t="shared" si="4"/>
        <v>×
[P・Q]
○・--</v>
      </c>
      <c r="J12" s="123" t="str">
        <f t="shared" si="5"/>
        <v>○
[P・Q]
○・○</v>
      </c>
      <c r="K12" s="123" t="str">
        <f t="shared" si="6"/>
        <v/>
      </c>
      <c r="L12" s="123" t="str">
        <f t="shared" si="7"/>
        <v/>
      </c>
      <c r="M12" s="123" t="str">
        <f t="shared" si="8"/>
        <v/>
      </c>
      <c r="N12" s="123" t="str">
        <f t="shared" si="9"/>
        <v/>
      </c>
      <c r="O12" s="123" t="str">
        <f t="shared" si="10"/>
        <v/>
      </c>
      <c r="P12" s="123" t="str">
        <f t="shared" si="11"/>
        <v/>
      </c>
      <c r="Q12" s="123" t="str">
        <f t="shared" si="12"/>
        <v/>
      </c>
      <c r="R12" s="76">
        <f t="shared" si="13"/>
        <v>1</v>
      </c>
      <c r="S12" s="28">
        <v>5</v>
      </c>
      <c r="T12" s="28">
        <v>5</v>
      </c>
      <c r="U12" s="28">
        <v>4</v>
      </c>
      <c r="V12" s="28">
        <v>3</v>
      </c>
      <c r="W12" s="77">
        <f t="shared" si="14"/>
        <v>37.5</v>
      </c>
      <c r="X12" s="77">
        <f t="shared" si="15"/>
        <v>7.5</v>
      </c>
      <c r="Y12" s="77" cm="1">
        <f t="array" ref="Y12">_xlfn.IFS(R12&gt;=0.8,5,R12&gt;=0.6,3,R12&gt;=0.2,1,R12&lt;0.2,0)</f>
        <v>5</v>
      </c>
      <c r="Z12" s="140">
        <f t="shared" si="21"/>
        <v>67</v>
      </c>
      <c r="AA12" s="282" t="s">
        <v>1132</v>
      </c>
      <c r="AB12" s="5" t="s">
        <v>1133</v>
      </c>
      <c r="AC12" s="186" t="s">
        <v>251</v>
      </c>
      <c r="AD12" s="189" t="s">
        <v>1134</v>
      </c>
      <c r="AE12" s="80" t="s">
        <v>251</v>
      </c>
      <c r="AF12" s="5" t="s">
        <v>1135</v>
      </c>
      <c r="AG12" s="142"/>
      <c r="AH12" s="201">
        <f t="shared" si="16"/>
        <v>1.0881597860134444</v>
      </c>
      <c r="AI12" s="202">
        <f t="shared" si="17"/>
        <v>7.1684040606367798</v>
      </c>
      <c r="AJ12" s="80" t="str">
        <f t="shared" si="18"/>
        <v>HIGH</v>
      </c>
      <c r="AK12" s="80" t="str">
        <f t="shared" si="19"/>
        <v>HIGH</v>
      </c>
      <c r="AL12" s="142"/>
      <c r="AM12" s="142"/>
      <c r="AN12" s="128" t="str">
        <f>IF(AND(Z12&gt;Summary!$C$5, Z12&lt;=Summary!$D$5),Summary!$B$5,IF(AND(Z12&gt;Summary!$C$6, Z12&lt;=Summary!$D$6),Summary!$B$6,IF(AND(Z12&gt;Summary!$C$7, Z12&lt;=Summary!$D$7),Summary!$B$7,Summary!$B$8)))</f>
        <v>○</v>
      </c>
      <c r="AO12" s="127" t="s">
        <v>389</v>
      </c>
      <c r="AP12" s="127"/>
      <c r="AQ12" s="14" t="s">
        <v>168</v>
      </c>
      <c r="AR12" s="14"/>
      <c r="AS12" s="14"/>
      <c r="AT12" s="29" t="s">
        <v>231</v>
      </c>
      <c r="AU12" s="36" t="s">
        <v>1136</v>
      </c>
      <c r="AV12" s="157" t="s">
        <v>168</v>
      </c>
      <c r="AW12" s="6">
        <v>11.1</v>
      </c>
      <c r="AX12" s="6">
        <v>10.5</v>
      </c>
      <c r="AY12" s="33">
        <f t="shared" ref="AY12:AY31" si="42">IF(AX12="","",AW12/AX12)</f>
        <v>1.0571428571428572</v>
      </c>
      <c r="AZ12" s="42">
        <v>0.314</v>
      </c>
      <c r="BA12" s="3">
        <v>4</v>
      </c>
      <c r="BB12" s="37">
        <f t="shared" si="20"/>
        <v>12.738853503184714</v>
      </c>
      <c r="BC12" s="3">
        <v>4</v>
      </c>
      <c r="BD12" s="3">
        <v>4</v>
      </c>
      <c r="BE12" s="80" t="s">
        <v>1137</v>
      </c>
      <c r="BF12" s="157" t="s">
        <v>168</v>
      </c>
      <c r="BG12" s="6">
        <v>19.899999999999999</v>
      </c>
      <c r="BH12" s="6">
        <v>18</v>
      </c>
      <c r="BI12" s="33">
        <f t="shared" si="22"/>
        <v>1.1055555555555554</v>
      </c>
      <c r="BJ12" s="42">
        <v>0.20100000000000001</v>
      </c>
      <c r="BK12" s="3"/>
      <c r="BL12" s="37" t="str">
        <f t="shared" si="23"/>
        <v/>
      </c>
      <c r="BM12" s="3"/>
      <c r="BN12" s="3"/>
      <c r="BO12" s="36" t="s">
        <v>1138</v>
      </c>
      <c r="BP12" s="157" t="s">
        <v>168</v>
      </c>
      <c r="BQ12" s="6">
        <v>23.5</v>
      </c>
      <c r="BR12" s="6">
        <v>22</v>
      </c>
      <c r="BS12" s="33">
        <f t="shared" si="24"/>
        <v>1.0681818181818181</v>
      </c>
      <c r="BT12" s="42">
        <v>0.97399999999999998</v>
      </c>
      <c r="BU12" s="3"/>
      <c r="BV12" s="37" t="str">
        <f t="shared" si="25"/>
        <v/>
      </c>
      <c r="BW12" s="3"/>
      <c r="BX12" s="3"/>
      <c r="BY12" s="80" t="s">
        <v>1139</v>
      </c>
      <c r="BZ12" s="157" t="s">
        <v>168</v>
      </c>
      <c r="CA12" s="6">
        <v>16.100000000000001</v>
      </c>
      <c r="CB12" s="6">
        <v>15</v>
      </c>
      <c r="CC12" s="33">
        <f t="shared" ref="CC12:CC31" si="43">IF(CB12="","",CA12/CB12)</f>
        <v>1.0733333333333335</v>
      </c>
      <c r="CD12" s="42">
        <v>0.26800000000000002</v>
      </c>
      <c r="CE12" s="3"/>
      <c r="CF12" s="37" t="str">
        <f t="shared" ref="CF12:CF31" si="44">IF(CE12="","",CE12/CD12)</f>
        <v/>
      </c>
      <c r="CG12" s="3"/>
      <c r="CH12" s="3"/>
      <c r="CI12" s="36" t="s">
        <v>1140</v>
      </c>
      <c r="CJ12" s="157" t="s">
        <v>168</v>
      </c>
      <c r="CK12" s="6">
        <v>23.3</v>
      </c>
      <c r="CL12" s="6">
        <v>20.5</v>
      </c>
      <c r="CM12" s="33">
        <f t="shared" si="26"/>
        <v>1.1365853658536587</v>
      </c>
      <c r="CN12" s="42">
        <v>3.129</v>
      </c>
      <c r="CO12" s="3">
        <v>5</v>
      </c>
      <c r="CP12" s="37">
        <f t="shared" si="27"/>
        <v>1.5979546180888462</v>
      </c>
      <c r="CQ12" s="3">
        <v>5</v>
      </c>
      <c r="CR12" s="3">
        <v>5</v>
      </c>
      <c r="CS12" s="36"/>
      <c r="CT12" s="157"/>
      <c r="CU12" s="6"/>
      <c r="CV12" s="6"/>
      <c r="CW12" s="33" t="str">
        <f t="shared" ref="CW12:CW31" si="45">IF(CV12="","",CU12/CV12)</f>
        <v/>
      </c>
      <c r="CX12" s="42"/>
      <c r="CY12" s="3"/>
      <c r="CZ12" s="37" t="str">
        <f t="shared" si="28"/>
        <v/>
      </c>
      <c r="DA12" s="3"/>
      <c r="DB12" s="3"/>
      <c r="DC12" s="36"/>
      <c r="DD12" s="157"/>
      <c r="DE12" s="6"/>
      <c r="DF12" s="6"/>
      <c r="DG12" s="33" t="str">
        <f t="shared" si="29"/>
        <v/>
      </c>
      <c r="DH12" s="42"/>
      <c r="DI12" s="3"/>
      <c r="DJ12" s="37" t="str">
        <f t="shared" si="30"/>
        <v/>
      </c>
      <c r="DK12" s="3"/>
      <c r="DL12" s="3"/>
      <c r="DM12" s="36"/>
      <c r="DN12" s="157"/>
      <c r="DO12" s="6"/>
      <c r="DP12" s="6"/>
      <c r="DQ12" s="33" t="str">
        <f t="shared" si="31"/>
        <v/>
      </c>
      <c r="DR12" s="42"/>
      <c r="DS12" s="3"/>
      <c r="DT12" s="37" t="str">
        <f t="shared" si="32"/>
        <v/>
      </c>
      <c r="DU12" s="3"/>
      <c r="DV12" s="3"/>
      <c r="DW12" s="36"/>
      <c r="DX12" s="157"/>
      <c r="DY12" s="6"/>
      <c r="DZ12" s="6"/>
      <c r="EA12" s="33" t="str">
        <f t="shared" si="33"/>
        <v/>
      </c>
      <c r="EB12" s="42"/>
      <c r="EC12" s="3"/>
      <c r="ED12" s="37" t="str">
        <f t="shared" si="34"/>
        <v/>
      </c>
      <c r="EE12" s="3"/>
      <c r="EF12" s="3"/>
      <c r="EG12" s="36"/>
      <c r="EH12" s="4"/>
      <c r="EI12" s="6"/>
      <c r="EJ12" s="6"/>
      <c r="EK12" s="33" t="str">
        <f t="shared" si="35"/>
        <v/>
      </c>
      <c r="EL12" s="42"/>
      <c r="EM12" s="3"/>
      <c r="EN12" s="37" t="str">
        <f t="shared" si="36"/>
        <v/>
      </c>
      <c r="EO12" s="3"/>
      <c r="EP12" s="3"/>
      <c r="EQ12" s="36"/>
      <c r="ER12" s="4"/>
      <c r="ES12" s="6"/>
      <c r="ET12" s="6"/>
      <c r="EU12" s="33" t="str">
        <f t="shared" si="37"/>
        <v/>
      </c>
      <c r="EV12" s="42"/>
      <c r="EW12" s="3"/>
      <c r="EX12" s="37" t="str">
        <f t="shared" si="38"/>
        <v/>
      </c>
      <c r="EY12" s="3"/>
      <c r="EZ12" s="3"/>
      <c r="FA12" s="36"/>
      <c r="FB12" s="4"/>
      <c r="FC12" s="6"/>
      <c r="FD12" s="6"/>
      <c r="FE12" s="33" t="str">
        <f t="shared" si="39"/>
        <v/>
      </c>
      <c r="FF12" s="42"/>
      <c r="FG12" s="3"/>
      <c r="FH12" s="37" t="str">
        <f t="shared" si="40"/>
        <v/>
      </c>
      <c r="FI12" s="3"/>
      <c r="FJ12" s="3"/>
      <c r="FM12" s="54">
        <f t="shared" ref="FM12:FN31" si="46">SUM(FF12,EV12,EL12,EB12,DR12,DH12,CX12,CN12,CD12,BT12,BJ12,AZ12)</f>
        <v>4.8860000000000001</v>
      </c>
      <c r="FN12" s="54">
        <f t="shared" si="46"/>
        <v>9</v>
      </c>
      <c r="FO12" s="471">
        <f t="shared" si="41"/>
        <v>93.9</v>
      </c>
      <c r="FP12" s="471">
        <f t="shared" si="41"/>
        <v>86</v>
      </c>
    </row>
    <row r="13" spans="2:172" ht="252.95">
      <c r="B13" s="3" t="s">
        <v>1141</v>
      </c>
      <c r="C13" s="3" t="s">
        <v>223</v>
      </c>
      <c r="D13" s="3" t="s">
        <v>224</v>
      </c>
      <c r="E13" s="28">
        <v>4</v>
      </c>
      <c r="F13" s="123" t="str">
        <f t="shared" si="1"/>
        <v>×
[P・Q]
○・×</v>
      </c>
      <c r="G13" s="123" t="str">
        <f t="shared" si="2"/>
        <v>×
[P・Q]
--・--</v>
      </c>
      <c r="H13" s="123" t="str">
        <f t="shared" si="3"/>
        <v>×
[P・Q]
○・--</v>
      </c>
      <c r="I13" s="123" t="str">
        <f t="shared" si="4"/>
        <v>×
[P・Q]
--・--</v>
      </c>
      <c r="J13" s="123" t="str">
        <f t="shared" si="5"/>
        <v/>
      </c>
      <c r="K13" s="123" t="str">
        <f t="shared" si="6"/>
        <v/>
      </c>
      <c r="L13" s="123" t="str">
        <f t="shared" si="7"/>
        <v/>
      </c>
      <c r="M13" s="123" t="str">
        <f t="shared" si="8"/>
        <v/>
      </c>
      <c r="N13" s="123" t="str">
        <f t="shared" si="9"/>
        <v/>
      </c>
      <c r="O13" s="123" t="str">
        <f t="shared" si="10"/>
        <v/>
      </c>
      <c r="P13" s="123" t="str">
        <f t="shared" si="11"/>
        <v/>
      </c>
      <c r="Q13" s="123" t="str">
        <f t="shared" si="12"/>
        <v/>
      </c>
      <c r="R13" s="76">
        <f t="shared" si="13"/>
        <v>0.5</v>
      </c>
      <c r="S13" s="28">
        <v>4</v>
      </c>
      <c r="T13" s="28">
        <v>5</v>
      </c>
      <c r="U13" s="28">
        <v>4</v>
      </c>
      <c r="V13" s="28">
        <v>3</v>
      </c>
      <c r="W13" s="77">
        <f t="shared" si="14"/>
        <v>18.75</v>
      </c>
      <c r="X13" s="77">
        <f t="shared" si="15"/>
        <v>0</v>
      </c>
      <c r="Y13" s="77" cm="1">
        <f t="array" ref="Y13">_xlfn.IFS(R13&gt;=0.8,5,R13&gt;=0.6,3,R13&gt;=0.2,1,R13&lt;0.2,0)</f>
        <v>1</v>
      </c>
      <c r="Z13" s="140">
        <f t="shared" si="21"/>
        <v>35.75</v>
      </c>
      <c r="AA13" s="99" t="s">
        <v>1142</v>
      </c>
      <c r="AB13" s="130" t="s">
        <v>1143</v>
      </c>
      <c r="AC13" s="80" t="s">
        <v>251</v>
      </c>
      <c r="AD13" s="99" t="s">
        <v>1144</v>
      </c>
      <c r="AE13" s="3"/>
      <c r="AF13" s="3"/>
      <c r="AG13" s="407">
        <f>TaskEndDay!H82</f>
        <v>0.5</v>
      </c>
      <c r="AH13" s="201">
        <f>IFERROR(AVERAGE(AY13,BI13,BS13,CC13,CM13,CW13,DG13,DQ13,EA13,EK13,EU13)," ")</f>
        <v>1.1523026315789473</v>
      </c>
      <c r="AI13" s="202">
        <f t="shared" si="17"/>
        <v>13.404825737265416</v>
      </c>
      <c r="AJ13" s="80" t="str">
        <f>IFERROR(IF(AH13&gt;=0.6,"HIGH","LOW"),"")</f>
        <v>HIGH</v>
      </c>
      <c r="AK13" s="80" t="str">
        <f t="shared" si="19"/>
        <v>LOW</v>
      </c>
      <c r="AL13" s="349" t="s">
        <v>1145</v>
      </c>
      <c r="AM13" s="238" t="s">
        <v>1146</v>
      </c>
      <c r="AN13" s="128" t="str">
        <f>IF(AND(Z13&gt;Summary!$C$5, Z13&lt;=Summary!$D$5),Summary!$B$5,IF(AND(Z13&gt;Summary!$C$6, Z13&lt;=Summary!$D$6),Summary!$B$6,IF(AND(Z13&gt;Summary!$C$7, Z13&lt;=Summary!$D$7),Summary!$B$7,Summary!$B$8)))</f>
        <v>△</v>
      </c>
      <c r="AO13" s="14" t="s">
        <v>168</v>
      </c>
      <c r="AP13" s="14"/>
      <c r="AQ13" s="14"/>
      <c r="AR13" s="14"/>
      <c r="AS13" s="14" t="s">
        <v>168</v>
      </c>
      <c r="AT13" s="29" t="s">
        <v>1147</v>
      </c>
      <c r="AU13" s="36" t="s">
        <v>1148</v>
      </c>
      <c r="AV13" s="157" t="s">
        <v>168</v>
      </c>
      <c r="AW13" s="6">
        <v>16</v>
      </c>
      <c r="AX13" s="6">
        <v>19</v>
      </c>
      <c r="AY13" s="33">
        <f>IF(AX13="","",AW13/AX13)</f>
        <v>0.84210526315789469</v>
      </c>
      <c r="AZ13" s="42">
        <v>0.373</v>
      </c>
      <c r="BA13" s="3">
        <v>5</v>
      </c>
      <c r="BB13" s="37">
        <f t="shared" si="20"/>
        <v>13.404825737265416</v>
      </c>
      <c r="BC13" s="3">
        <v>5</v>
      </c>
      <c r="BD13" s="3">
        <v>5</v>
      </c>
      <c r="BE13" s="5" t="s">
        <v>1149</v>
      </c>
      <c r="BF13" s="157" t="s">
        <v>178</v>
      </c>
      <c r="BG13" s="3">
        <v>23.2</v>
      </c>
      <c r="BH13" s="3"/>
      <c r="BI13" s="33" t="str">
        <f>IF(BH13="","",BG13/BH13)</f>
        <v/>
      </c>
      <c r="BJ13" s="3"/>
      <c r="BK13" s="3"/>
      <c r="BL13" s="37" t="str">
        <f>IF(BK13="","",BK13/BJ13)</f>
        <v/>
      </c>
      <c r="BM13" s="3"/>
      <c r="BN13" s="3"/>
      <c r="BO13" s="36" t="s">
        <v>1150</v>
      </c>
      <c r="BP13" s="157" t="s">
        <v>168</v>
      </c>
      <c r="BQ13" s="6">
        <v>23.4</v>
      </c>
      <c r="BR13" s="6">
        <v>16</v>
      </c>
      <c r="BS13" s="33">
        <f t="shared" si="24"/>
        <v>1.4624999999999999</v>
      </c>
      <c r="BT13" s="42">
        <v>3.2</v>
      </c>
      <c r="BU13" s="3"/>
      <c r="BV13" s="37" t="str">
        <f t="shared" si="25"/>
        <v/>
      </c>
      <c r="BW13" s="3"/>
      <c r="BX13" s="3"/>
      <c r="BY13" s="36" t="s">
        <v>1151</v>
      </c>
      <c r="BZ13" s="157" t="s">
        <v>178</v>
      </c>
      <c r="CA13" s="6">
        <v>18.600000000000001</v>
      </c>
      <c r="CB13" s="6"/>
      <c r="CC13" s="33" t="str">
        <f t="shared" si="43"/>
        <v/>
      </c>
      <c r="CD13" s="42"/>
      <c r="CE13" s="3"/>
      <c r="CF13" s="37" t="str">
        <f t="shared" si="44"/>
        <v/>
      </c>
      <c r="CG13" s="3"/>
      <c r="CH13" s="3"/>
      <c r="CI13" s="36"/>
      <c r="CJ13" s="157"/>
      <c r="CK13" s="6"/>
      <c r="CL13" s="6"/>
      <c r="CM13" s="33" t="str">
        <f t="shared" si="26"/>
        <v/>
      </c>
      <c r="CN13" s="42"/>
      <c r="CO13" s="3"/>
      <c r="CP13" s="37" t="str">
        <f t="shared" si="27"/>
        <v/>
      </c>
      <c r="CQ13" s="3"/>
      <c r="CR13" s="87"/>
      <c r="CS13" s="36"/>
      <c r="CT13" s="157"/>
      <c r="CU13" s="6"/>
      <c r="CV13" s="6"/>
      <c r="CW13" s="33" t="str">
        <f t="shared" si="45"/>
        <v/>
      </c>
      <c r="CX13" s="42"/>
      <c r="CY13" s="3"/>
      <c r="CZ13" s="37" t="str">
        <f t="shared" si="28"/>
        <v/>
      </c>
      <c r="DA13" s="3"/>
      <c r="DB13" s="3"/>
      <c r="DC13" s="36"/>
      <c r="DD13" s="157"/>
      <c r="DE13" s="6"/>
      <c r="DF13" s="6"/>
      <c r="DG13" s="33" t="str">
        <f t="shared" si="29"/>
        <v/>
      </c>
      <c r="DH13" s="42"/>
      <c r="DI13" s="3"/>
      <c r="DJ13" s="37" t="str">
        <f t="shared" si="30"/>
        <v/>
      </c>
      <c r="DK13" s="3"/>
      <c r="DL13" s="3"/>
      <c r="DM13" s="36"/>
      <c r="DN13" s="157"/>
      <c r="DO13" s="6"/>
      <c r="DP13" s="6"/>
      <c r="DQ13" s="33" t="str">
        <f t="shared" si="31"/>
        <v/>
      </c>
      <c r="DR13" s="42"/>
      <c r="DS13" s="3"/>
      <c r="DT13" s="37" t="str">
        <f t="shared" si="32"/>
        <v/>
      </c>
      <c r="DU13" s="3"/>
      <c r="DV13" s="3"/>
      <c r="DW13" s="36"/>
      <c r="DX13" s="157"/>
      <c r="DY13" s="6"/>
      <c r="DZ13" s="6"/>
      <c r="EA13" s="33" t="str">
        <f t="shared" si="33"/>
        <v/>
      </c>
      <c r="EB13" s="42"/>
      <c r="EC13" s="3"/>
      <c r="ED13" s="37" t="str">
        <f t="shared" si="34"/>
        <v/>
      </c>
      <c r="EE13" s="3"/>
      <c r="EF13" s="3"/>
      <c r="EG13" s="36"/>
      <c r="EH13" s="4"/>
      <c r="EI13" s="6"/>
      <c r="EJ13" s="6"/>
      <c r="EK13" s="33" t="str">
        <f t="shared" si="35"/>
        <v/>
      </c>
      <c r="EL13" s="42"/>
      <c r="EM13" s="3"/>
      <c r="EN13" s="37" t="str">
        <f t="shared" si="36"/>
        <v/>
      </c>
      <c r="EO13" s="3"/>
      <c r="EP13" s="3"/>
      <c r="EQ13" s="36"/>
      <c r="ER13" s="4"/>
      <c r="ES13" s="6"/>
      <c r="ET13" s="6"/>
      <c r="EU13" s="33" t="str">
        <f t="shared" si="37"/>
        <v/>
      </c>
      <c r="EV13" s="42"/>
      <c r="EW13" s="3"/>
      <c r="EX13" s="37" t="str">
        <f t="shared" si="38"/>
        <v/>
      </c>
      <c r="EY13" s="3"/>
      <c r="EZ13" s="3"/>
      <c r="FA13" s="36"/>
      <c r="FB13" s="4"/>
      <c r="FC13" s="6"/>
      <c r="FD13" s="6"/>
      <c r="FE13" s="33" t="str">
        <f t="shared" si="39"/>
        <v/>
      </c>
      <c r="FF13" s="42"/>
      <c r="FG13" s="3"/>
      <c r="FH13" s="37" t="str">
        <f t="shared" si="40"/>
        <v/>
      </c>
      <c r="FI13" s="3"/>
      <c r="FJ13" s="3"/>
      <c r="FM13" s="54">
        <f t="shared" si="46"/>
        <v>3.5730000000000004</v>
      </c>
      <c r="FN13" s="54">
        <f t="shared" si="46"/>
        <v>5</v>
      </c>
      <c r="FO13" s="471">
        <f t="shared" si="41"/>
        <v>81.2</v>
      </c>
      <c r="FP13" s="471">
        <f t="shared" si="41"/>
        <v>35</v>
      </c>
    </row>
    <row r="14" spans="2:172" ht="120.95">
      <c r="B14" s="3" t="s">
        <v>1152</v>
      </c>
      <c r="C14" s="3" t="s">
        <v>300</v>
      </c>
      <c r="D14" s="3" t="s">
        <v>224</v>
      </c>
      <c r="E14" s="4">
        <v>5</v>
      </c>
      <c r="F14" s="123" t="str">
        <f t="shared" si="1"/>
        <v>×
[P・Q]
○・×</v>
      </c>
      <c r="G14" s="123" t="str">
        <f t="shared" si="2"/>
        <v>×
[P・Q]
○・×</v>
      </c>
      <c r="H14" s="123" t="str">
        <f t="shared" si="3"/>
        <v>○
[P・Q]
○・○</v>
      </c>
      <c r="I14" s="123" t="str">
        <f t="shared" si="4"/>
        <v>×
[P・Q]
○・×</v>
      </c>
      <c r="J14" s="123" t="str">
        <f t="shared" si="5"/>
        <v>○
[P・Q]
○・--</v>
      </c>
      <c r="K14" s="123" t="str">
        <f t="shared" si="6"/>
        <v/>
      </c>
      <c r="L14" s="123" t="str">
        <f t="shared" si="7"/>
        <v/>
      </c>
      <c r="M14" s="123" t="str">
        <f t="shared" si="8"/>
        <v/>
      </c>
      <c r="N14" s="123" t="str">
        <f t="shared" si="9"/>
        <v/>
      </c>
      <c r="O14" s="123" t="str">
        <f t="shared" si="10"/>
        <v/>
      </c>
      <c r="P14" s="123" t="str">
        <f t="shared" si="11"/>
        <v/>
      </c>
      <c r="Q14" s="123" t="str">
        <f t="shared" si="12"/>
        <v/>
      </c>
      <c r="R14" s="76">
        <f t="shared" si="13"/>
        <v>1</v>
      </c>
      <c r="S14" s="4">
        <v>5</v>
      </c>
      <c r="T14" s="4">
        <v>5</v>
      </c>
      <c r="U14" s="4">
        <v>4</v>
      </c>
      <c r="V14" s="4">
        <v>5</v>
      </c>
      <c r="W14" s="77">
        <f t="shared" si="14"/>
        <v>37.5</v>
      </c>
      <c r="X14" s="77">
        <f t="shared" si="15"/>
        <v>7.5</v>
      </c>
      <c r="Y14" s="77" cm="1">
        <f t="array" ref="Y14">_xlfn.IFS(R14&gt;=0.8,5,R14&gt;=0.6,3,R14&gt;=0.2,1,R14&lt;0.2,0)</f>
        <v>5</v>
      </c>
      <c r="Z14" s="140">
        <f t="shared" si="21"/>
        <v>69</v>
      </c>
      <c r="AA14" s="129" t="s">
        <v>1153</v>
      </c>
      <c r="AB14" s="129" t="s">
        <v>1154</v>
      </c>
      <c r="AC14" s="247" t="s">
        <v>226</v>
      </c>
      <c r="AD14" s="324" t="s">
        <v>1155</v>
      </c>
      <c r="AE14" s="83" t="s">
        <v>251</v>
      </c>
      <c r="AF14" s="129" t="s">
        <v>1156</v>
      </c>
      <c r="AG14" s="195"/>
      <c r="AH14" s="325">
        <f t="shared" si="16"/>
        <v>1.9696916971916969</v>
      </c>
      <c r="AI14" s="326">
        <f t="shared" si="17"/>
        <v>23.983792368158959</v>
      </c>
      <c r="AJ14" s="83" t="str">
        <f t="shared" si="18"/>
        <v>HIGH</v>
      </c>
      <c r="AK14" s="83" t="str">
        <f t="shared" si="19"/>
        <v>LOW</v>
      </c>
      <c r="AL14" s="195"/>
      <c r="AM14" s="195"/>
      <c r="AN14" s="128" t="str">
        <f>IF(AND(Z14&gt;Summary!$C$5, Z14&lt;=Summary!$D$5),Summary!$B$5,IF(AND(Z14&gt;Summary!$C$6, Z14&lt;=Summary!$D$6),Summary!$B$6,IF(AND(Z14&gt;Summary!$C$7, Z14&lt;=Summary!$D$7),Summary!$B$7,Summary!$B$8)))</f>
        <v>○</v>
      </c>
      <c r="AO14" s="14" t="s">
        <v>168</v>
      </c>
      <c r="AP14" s="14"/>
      <c r="AQ14" s="14" t="s">
        <v>168</v>
      </c>
      <c r="AR14" s="14"/>
      <c r="AS14" s="14"/>
      <c r="AT14" s="29" t="s">
        <v>231</v>
      </c>
      <c r="AU14" s="80" t="s">
        <v>1157</v>
      </c>
      <c r="AV14" s="157" t="s">
        <v>168</v>
      </c>
      <c r="AW14" s="6">
        <v>11</v>
      </c>
      <c r="AX14" s="6">
        <v>9</v>
      </c>
      <c r="AY14" s="33">
        <f t="shared" si="42"/>
        <v>1.2222222222222223</v>
      </c>
      <c r="AZ14" s="42">
        <v>0.191</v>
      </c>
      <c r="BA14" s="3">
        <v>7</v>
      </c>
      <c r="BB14" s="37">
        <f t="shared" si="20"/>
        <v>36.64921465968586</v>
      </c>
      <c r="BC14" s="3">
        <v>7</v>
      </c>
      <c r="BD14" s="3">
        <v>7</v>
      </c>
      <c r="BE14" s="80" t="s">
        <v>1158</v>
      </c>
      <c r="BF14" s="157" t="s">
        <v>168</v>
      </c>
      <c r="BG14" s="6">
        <v>10.9</v>
      </c>
      <c r="BH14" s="6">
        <v>8</v>
      </c>
      <c r="BI14" s="33">
        <f>IF(BH14="","",BG14/BH14)</f>
        <v>1.3625</v>
      </c>
      <c r="BJ14" s="42">
        <v>0.17699999999999999</v>
      </c>
      <c r="BK14" s="3">
        <v>3</v>
      </c>
      <c r="BL14" s="37">
        <f>IF(BK14="","",BK14/BJ14)</f>
        <v>16.949152542372882</v>
      </c>
      <c r="BM14" s="3">
        <v>3</v>
      </c>
      <c r="BN14" s="3">
        <v>3</v>
      </c>
      <c r="BO14" s="80" t="s">
        <v>1159</v>
      </c>
      <c r="BP14" s="157" t="s">
        <v>168</v>
      </c>
      <c r="BQ14" s="6">
        <v>15.5</v>
      </c>
      <c r="BR14" s="6">
        <v>13</v>
      </c>
      <c r="BS14" s="33">
        <f>IF(BR14="","",BQ14/BR14)</f>
        <v>1.1923076923076923</v>
      </c>
      <c r="BT14" s="42">
        <v>0.755</v>
      </c>
      <c r="BU14" s="3">
        <v>5</v>
      </c>
      <c r="BV14" s="37">
        <f>IF(BU14="","",BU14/BT14)</f>
        <v>6.6225165562913908</v>
      </c>
      <c r="BW14" s="3">
        <v>5</v>
      </c>
      <c r="BX14" s="3">
        <v>5</v>
      </c>
      <c r="BY14" s="80" t="s">
        <v>1160</v>
      </c>
      <c r="BZ14" s="157" t="s">
        <v>168</v>
      </c>
      <c r="CA14" s="6">
        <v>11</v>
      </c>
      <c r="CB14" s="6">
        <v>7</v>
      </c>
      <c r="CC14" s="33">
        <f>IF(CB14="","",CA14/CB14)</f>
        <v>1.5714285714285714</v>
      </c>
      <c r="CD14" s="42">
        <v>0.16800000000000001</v>
      </c>
      <c r="CE14" s="3">
        <v>6</v>
      </c>
      <c r="CF14" s="37">
        <f>IF(CE14="","",CE14/CD14)</f>
        <v>35.714285714285715</v>
      </c>
      <c r="CG14" s="3">
        <v>6</v>
      </c>
      <c r="CH14" s="3">
        <v>6</v>
      </c>
      <c r="CI14" s="80" t="s">
        <v>1161</v>
      </c>
      <c r="CJ14" s="157" t="s">
        <v>168</v>
      </c>
      <c r="CK14" s="6">
        <v>22.5</v>
      </c>
      <c r="CL14" s="6">
        <v>5</v>
      </c>
      <c r="CM14" s="33">
        <f>IF(CL14="","",CK14/CL14)</f>
        <v>4.5</v>
      </c>
      <c r="CN14" s="42">
        <v>0.80400000000000005</v>
      </c>
      <c r="CO14" s="3"/>
      <c r="CP14" s="37"/>
      <c r="CQ14" s="81"/>
      <c r="CR14" s="106"/>
      <c r="CS14" s="82"/>
      <c r="CT14" s="157"/>
      <c r="CU14" s="6"/>
      <c r="CV14" s="6"/>
      <c r="CW14" s="33"/>
      <c r="CX14" s="42"/>
      <c r="CY14" s="3"/>
      <c r="CZ14" s="37"/>
      <c r="DA14" s="3"/>
      <c r="DB14" s="3"/>
      <c r="DC14" s="80"/>
      <c r="DD14" s="157"/>
      <c r="DE14" s="6"/>
      <c r="DF14" s="6"/>
      <c r="DG14" s="33" t="str">
        <f t="shared" si="29"/>
        <v/>
      </c>
      <c r="DH14" s="42"/>
      <c r="DI14" s="3"/>
      <c r="DJ14" s="37" t="str">
        <f t="shared" si="30"/>
        <v/>
      </c>
      <c r="DK14" s="3"/>
      <c r="DL14" s="3"/>
      <c r="DM14" s="4"/>
      <c r="DN14" s="157"/>
      <c r="DO14" s="6"/>
      <c r="DP14" s="6"/>
      <c r="DQ14" s="33" t="str">
        <f t="shared" si="31"/>
        <v/>
      </c>
      <c r="DR14" s="42"/>
      <c r="DS14" s="3"/>
      <c r="DT14" s="37" t="str">
        <f t="shared" si="32"/>
        <v/>
      </c>
      <c r="DU14" s="3"/>
      <c r="DV14" s="3"/>
      <c r="DW14" s="4"/>
      <c r="DX14" s="157"/>
      <c r="DY14" s="6"/>
      <c r="DZ14" s="6"/>
      <c r="EA14" s="33" t="str">
        <f t="shared" si="33"/>
        <v/>
      </c>
      <c r="EB14" s="42"/>
      <c r="EC14" s="3"/>
      <c r="ED14" s="37" t="str">
        <f t="shared" si="34"/>
        <v/>
      </c>
      <c r="EE14" s="3"/>
      <c r="EF14" s="3"/>
      <c r="EG14" s="4"/>
      <c r="EH14" s="4"/>
      <c r="EI14" s="6"/>
      <c r="EJ14" s="6"/>
      <c r="EK14" s="33" t="str">
        <f t="shared" si="35"/>
        <v/>
      </c>
      <c r="EL14" s="42"/>
      <c r="EM14" s="3"/>
      <c r="EN14" s="37" t="str">
        <f t="shared" si="36"/>
        <v/>
      </c>
      <c r="EO14" s="3"/>
      <c r="EP14" s="3"/>
      <c r="EQ14" s="4"/>
      <c r="ER14" s="4"/>
      <c r="ES14" s="6"/>
      <c r="ET14" s="6"/>
      <c r="EU14" s="33" t="str">
        <f t="shared" si="37"/>
        <v/>
      </c>
      <c r="EV14" s="42"/>
      <c r="EW14" s="3"/>
      <c r="EX14" s="37" t="str">
        <f t="shared" si="38"/>
        <v/>
      </c>
      <c r="EY14" s="3"/>
      <c r="EZ14" s="3"/>
      <c r="FA14" s="4"/>
      <c r="FB14" s="4"/>
      <c r="FC14" s="6"/>
      <c r="FD14" s="6"/>
      <c r="FE14" s="33" t="str">
        <f t="shared" si="39"/>
        <v/>
      </c>
      <c r="FF14" s="42"/>
      <c r="FG14" s="3"/>
      <c r="FH14" s="37" t="str">
        <f t="shared" si="40"/>
        <v/>
      </c>
      <c r="FI14" s="3"/>
      <c r="FJ14" s="3"/>
      <c r="FM14" s="54">
        <f t="shared" si="46"/>
        <v>2.0950000000000002</v>
      </c>
      <c r="FN14" s="54">
        <f t="shared" si="46"/>
        <v>21</v>
      </c>
      <c r="FO14" s="471">
        <f t="shared" si="41"/>
        <v>70.900000000000006</v>
      </c>
      <c r="FP14" s="471">
        <f t="shared" si="41"/>
        <v>42</v>
      </c>
    </row>
    <row r="15" spans="2:172" ht="222.75" customHeight="1">
      <c r="B15" s="3" t="s">
        <v>1162</v>
      </c>
      <c r="C15" s="3" t="s">
        <v>223</v>
      </c>
      <c r="D15" s="3" t="s">
        <v>224</v>
      </c>
      <c r="E15" s="4">
        <v>8</v>
      </c>
      <c r="F15" s="123" t="str">
        <f t="shared" si="1"/>
        <v>×
[P・Q]
○・×</v>
      </c>
      <c r="G15" s="123" t="str">
        <f t="shared" si="2"/>
        <v>×
[P・Q]
○・--</v>
      </c>
      <c r="H15" s="123" t="str">
        <f t="shared" si="3"/>
        <v>○
[P・Q]
○・○</v>
      </c>
      <c r="I15" s="123" t="str">
        <f t="shared" si="4"/>
        <v>×
[P・Q]
○・×</v>
      </c>
      <c r="J15" s="123" t="str">
        <f t="shared" si="5"/>
        <v>○
[P・Q]
○・○</v>
      </c>
      <c r="K15" s="123" t="str">
        <f t="shared" si="6"/>
        <v>×
[P・Q]
○・○</v>
      </c>
      <c r="L15" s="123" t="str">
        <f t="shared" si="7"/>
        <v>○
[P・Q]
○・○</v>
      </c>
      <c r="M15" s="123" t="str">
        <f t="shared" si="8"/>
        <v>○
[P・Q]
○・○</v>
      </c>
      <c r="N15" s="123" t="str">
        <f t="shared" si="9"/>
        <v/>
      </c>
      <c r="O15" s="123" t="str">
        <f t="shared" si="10"/>
        <v/>
      </c>
      <c r="P15" s="123" t="str">
        <f t="shared" si="11"/>
        <v/>
      </c>
      <c r="Q15" s="123" t="str">
        <f t="shared" si="12"/>
        <v/>
      </c>
      <c r="R15" s="76">
        <f t="shared" si="13"/>
        <v>1</v>
      </c>
      <c r="S15" s="4">
        <v>5</v>
      </c>
      <c r="T15" s="4">
        <v>5</v>
      </c>
      <c r="U15" s="4">
        <v>3</v>
      </c>
      <c r="V15" s="4">
        <v>3</v>
      </c>
      <c r="W15" s="77">
        <f t="shared" si="14"/>
        <v>37.5</v>
      </c>
      <c r="X15" s="77">
        <f t="shared" si="15"/>
        <v>18.75</v>
      </c>
      <c r="Y15" s="77" cm="1">
        <f t="array" ref="Y15">_xlfn.IFS(R15&gt;=0.8,5,R15&gt;=0.6,3,R15&gt;=0.2,1,R15&lt;0.2,0)</f>
        <v>5</v>
      </c>
      <c r="Z15" s="140">
        <f t="shared" si="21"/>
        <v>77.25</v>
      </c>
      <c r="AA15" s="5" t="s">
        <v>1163</v>
      </c>
      <c r="AB15" s="5" t="s">
        <v>1164</v>
      </c>
      <c r="AC15" s="80" t="s">
        <v>226</v>
      </c>
      <c r="AD15" s="5" t="s">
        <v>1165</v>
      </c>
      <c r="AE15" s="80" t="s">
        <v>251</v>
      </c>
      <c r="AF15" s="5" t="s">
        <v>1166</v>
      </c>
      <c r="AG15" s="5"/>
      <c r="AH15" s="201">
        <f t="shared" si="16"/>
        <v>1.3650643500643502</v>
      </c>
      <c r="AI15" s="202">
        <f t="shared" si="17"/>
        <v>14.193565205221059</v>
      </c>
      <c r="AJ15" s="80" t="str">
        <f t="shared" si="18"/>
        <v>HIGH</v>
      </c>
      <c r="AK15" s="80" t="str">
        <f t="shared" si="19"/>
        <v>LOW</v>
      </c>
      <c r="AL15" s="228" t="s">
        <v>1167</v>
      </c>
      <c r="AM15" s="237" t="s">
        <v>1168</v>
      </c>
      <c r="AN15" s="128" t="str">
        <f>IF(AND(Z15&gt;Summary!$C$5, Z15&lt;=Summary!$D$5),Summary!$B$5,IF(AND(Z15&gt;Summary!$C$6, Z15&lt;=Summary!$D$6),Summary!$B$6,IF(AND(Z15&gt;Summary!$C$7, Z15&lt;=Summary!$D$7),Summary!$B$7,Summary!$B$8)))</f>
        <v>◎</v>
      </c>
      <c r="AO15" s="14" t="s">
        <v>168</v>
      </c>
      <c r="AP15" s="14"/>
      <c r="AQ15" s="14"/>
      <c r="AR15" s="14"/>
      <c r="AS15" s="14" t="s">
        <v>168</v>
      </c>
      <c r="AT15" s="29" t="s">
        <v>245</v>
      </c>
      <c r="AU15" s="80" t="s">
        <v>1169</v>
      </c>
      <c r="AV15" s="157" t="s">
        <v>168</v>
      </c>
      <c r="AW15" s="6">
        <v>11.1</v>
      </c>
      <c r="AX15" s="6">
        <v>10.5</v>
      </c>
      <c r="AY15" s="33">
        <f t="shared" si="42"/>
        <v>1.0571428571428572</v>
      </c>
      <c r="AZ15" s="42">
        <v>0.30099999999999999</v>
      </c>
      <c r="BA15" s="3">
        <v>11</v>
      </c>
      <c r="BB15" s="37">
        <f t="shared" si="20"/>
        <v>36.544850498338874</v>
      </c>
      <c r="BC15" s="3">
        <v>11</v>
      </c>
      <c r="BD15" s="3">
        <v>11</v>
      </c>
      <c r="BE15" s="80" t="s">
        <v>1170</v>
      </c>
      <c r="BF15" s="157" t="s">
        <v>168</v>
      </c>
      <c r="BG15" s="6">
        <v>10.9</v>
      </c>
      <c r="BH15" s="6">
        <v>10.5</v>
      </c>
      <c r="BI15" s="33">
        <f t="shared" si="22"/>
        <v>1.0380952380952382</v>
      </c>
      <c r="BJ15" s="42">
        <v>8.5999999999999993E-2</v>
      </c>
      <c r="BK15" s="3"/>
      <c r="BL15" s="37" t="str">
        <f t="shared" si="23"/>
        <v/>
      </c>
      <c r="BM15" s="3"/>
      <c r="BN15" s="3"/>
      <c r="BO15" s="80" t="s">
        <v>1171</v>
      </c>
      <c r="BP15" s="157" t="s">
        <v>168</v>
      </c>
      <c r="BQ15" s="6">
        <v>26.3</v>
      </c>
      <c r="BR15" s="6">
        <v>15</v>
      </c>
      <c r="BS15" s="33">
        <f t="shared" si="24"/>
        <v>1.7533333333333334</v>
      </c>
      <c r="BT15" s="42">
        <v>0.66600000000000004</v>
      </c>
      <c r="BU15" s="3">
        <v>5</v>
      </c>
      <c r="BV15" s="37">
        <f t="shared" si="25"/>
        <v>7.5075075075075075</v>
      </c>
      <c r="BW15" s="3">
        <v>5</v>
      </c>
      <c r="BX15" s="3">
        <v>5</v>
      </c>
      <c r="BY15" s="80" t="s">
        <v>1172</v>
      </c>
      <c r="BZ15" s="157" t="s">
        <v>168</v>
      </c>
      <c r="CA15" s="6">
        <v>15.9</v>
      </c>
      <c r="CB15" s="6">
        <v>10.5</v>
      </c>
      <c r="CC15" s="33">
        <f t="shared" si="43"/>
        <v>1.5142857142857142</v>
      </c>
      <c r="CD15" s="42">
        <v>0.158</v>
      </c>
      <c r="CE15" s="3">
        <v>5</v>
      </c>
      <c r="CF15" s="37">
        <f t="shared" si="44"/>
        <v>31.645569620253163</v>
      </c>
      <c r="CG15" s="3">
        <v>5</v>
      </c>
      <c r="CH15" s="3">
        <v>5</v>
      </c>
      <c r="CI15" s="80" t="s">
        <v>1173</v>
      </c>
      <c r="CJ15" s="157" t="s">
        <v>168</v>
      </c>
      <c r="CK15" s="6">
        <v>16</v>
      </c>
      <c r="CL15" s="6">
        <v>10.5</v>
      </c>
      <c r="CM15" s="33">
        <f>IF(CL15="","",CK15/CL15)</f>
        <v>1.5238095238095237</v>
      </c>
      <c r="CN15" s="42">
        <v>0.123</v>
      </c>
      <c r="CO15" s="3">
        <v>0</v>
      </c>
      <c r="CP15" s="37">
        <f t="shared" si="27"/>
        <v>0</v>
      </c>
      <c r="CQ15" s="3">
        <v>0</v>
      </c>
      <c r="CR15" s="3">
        <v>0</v>
      </c>
      <c r="CS15" s="80" t="s">
        <v>1174</v>
      </c>
      <c r="CT15" s="157" t="s">
        <v>168</v>
      </c>
      <c r="CU15" s="6">
        <v>11</v>
      </c>
      <c r="CV15" s="6">
        <v>10.5</v>
      </c>
      <c r="CW15" s="33">
        <f t="shared" si="45"/>
        <v>1.0476190476190477</v>
      </c>
      <c r="CX15" s="42">
        <v>0.1</v>
      </c>
      <c r="CY15" s="3">
        <v>2</v>
      </c>
      <c r="CZ15" s="37">
        <f>IF(CY15="","",CY15/CX15)</f>
        <v>20</v>
      </c>
      <c r="DA15" s="3">
        <v>2</v>
      </c>
      <c r="DB15" s="3">
        <v>2</v>
      </c>
      <c r="DC15" s="80" t="s">
        <v>1175</v>
      </c>
      <c r="DD15" s="157" t="s">
        <v>168</v>
      </c>
      <c r="DE15" s="6">
        <v>22.65</v>
      </c>
      <c r="DF15" s="6">
        <v>18.5</v>
      </c>
      <c r="DG15" s="33">
        <f t="shared" si="29"/>
        <v>1.2243243243243243</v>
      </c>
      <c r="DH15" s="42">
        <v>2.0259999999999998</v>
      </c>
      <c r="DI15" s="3">
        <v>3</v>
      </c>
      <c r="DJ15" s="37">
        <f t="shared" si="30"/>
        <v>1.480750246791708</v>
      </c>
      <c r="DK15" s="3">
        <v>3</v>
      </c>
      <c r="DL15" s="3">
        <v>3</v>
      </c>
      <c r="DM15" s="80" t="s">
        <v>1176</v>
      </c>
      <c r="DN15" s="157" t="s">
        <v>168</v>
      </c>
      <c r="DO15" s="6">
        <v>37</v>
      </c>
      <c r="DP15" s="6">
        <v>21</v>
      </c>
      <c r="DQ15" s="33">
        <f t="shared" si="31"/>
        <v>1.7619047619047619</v>
      </c>
      <c r="DR15" s="42">
        <v>0.91900000000000004</v>
      </c>
      <c r="DS15" s="3">
        <v>2</v>
      </c>
      <c r="DT15" s="37">
        <f t="shared" si="32"/>
        <v>2.1762785636561479</v>
      </c>
      <c r="DU15" s="3">
        <v>2</v>
      </c>
      <c r="DV15" s="3">
        <v>2</v>
      </c>
      <c r="DW15" s="4"/>
      <c r="DX15" s="157"/>
      <c r="DY15" s="6"/>
      <c r="DZ15" s="6"/>
      <c r="EA15" s="33" t="str">
        <f t="shared" si="33"/>
        <v/>
      </c>
      <c r="EB15" s="42"/>
      <c r="EC15" s="3"/>
      <c r="ED15" s="37" t="str">
        <f t="shared" si="34"/>
        <v/>
      </c>
      <c r="EE15" s="3"/>
      <c r="EF15" s="3"/>
      <c r="EG15" s="4"/>
      <c r="EH15" s="4"/>
      <c r="EI15" s="6"/>
      <c r="EJ15" s="6"/>
      <c r="EK15" s="33" t="str">
        <f t="shared" si="35"/>
        <v/>
      </c>
      <c r="EL15" s="42"/>
      <c r="EM15" s="3"/>
      <c r="EN15" s="37" t="str">
        <f t="shared" si="36"/>
        <v/>
      </c>
      <c r="EO15" s="3"/>
      <c r="EP15" s="3"/>
      <c r="EQ15" s="4"/>
      <c r="ER15" s="4"/>
      <c r="ES15" s="6"/>
      <c r="ET15" s="6"/>
      <c r="EU15" s="33" t="str">
        <f t="shared" si="37"/>
        <v/>
      </c>
      <c r="EV15" s="42"/>
      <c r="EW15" s="3"/>
      <c r="EX15" s="37" t="str">
        <f t="shared" si="38"/>
        <v/>
      </c>
      <c r="EY15" s="3"/>
      <c r="EZ15" s="3"/>
      <c r="FA15" s="4"/>
      <c r="FB15" s="4"/>
      <c r="FC15" s="6"/>
      <c r="FD15" s="6"/>
      <c r="FE15" s="33" t="str">
        <f t="shared" si="39"/>
        <v/>
      </c>
      <c r="FF15" s="42"/>
      <c r="FG15" s="3"/>
      <c r="FH15" s="37" t="str">
        <f t="shared" si="40"/>
        <v/>
      </c>
      <c r="FI15" s="3"/>
      <c r="FJ15" s="3"/>
      <c r="FM15" s="54">
        <f t="shared" si="46"/>
        <v>4.3790000000000004</v>
      </c>
      <c r="FN15" s="54">
        <f t="shared" si="46"/>
        <v>28</v>
      </c>
      <c r="FO15" s="471">
        <f t="shared" si="41"/>
        <v>150.85000000000002</v>
      </c>
      <c r="FP15" s="471">
        <f t="shared" si="41"/>
        <v>107</v>
      </c>
    </row>
    <row r="16" spans="2:172" ht="243.75" customHeight="1">
      <c r="B16" s="27" t="s">
        <v>1177</v>
      </c>
      <c r="C16" s="3" t="s">
        <v>223</v>
      </c>
      <c r="D16" s="3" t="s">
        <v>313</v>
      </c>
      <c r="E16" s="4">
        <v>5</v>
      </c>
      <c r="F16" s="123" t="str">
        <f t="shared" si="1"/>
        <v>○
[P・Q]
○・○</v>
      </c>
      <c r="G16" s="123" t="str">
        <f t="shared" si="2"/>
        <v>×
[P・Q]
×・--</v>
      </c>
      <c r="H16" s="123" t="str">
        <f t="shared" si="3"/>
        <v>×
[P・Q]
○・×</v>
      </c>
      <c r="I16" s="123" t="str">
        <f t="shared" si="4"/>
        <v>×
[P・Q]
○・×</v>
      </c>
      <c r="J16" s="123" t="str">
        <f t="shared" si="5"/>
        <v>×
[P・Q]
×・--</v>
      </c>
      <c r="K16" s="123" t="str">
        <f t="shared" si="6"/>
        <v/>
      </c>
      <c r="L16" s="123" t="str">
        <f t="shared" si="7"/>
        <v/>
      </c>
      <c r="M16" s="123" t="str">
        <f t="shared" si="8"/>
        <v/>
      </c>
      <c r="N16" s="123" t="str">
        <f t="shared" si="9"/>
        <v/>
      </c>
      <c r="O16" s="123" t="str">
        <f t="shared" si="10"/>
        <v/>
      </c>
      <c r="P16" s="123" t="str">
        <f t="shared" si="11"/>
        <v/>
      </c>
      <c r="Q16" s="123" t="str">
        <f t="shared" si="12"/>
        <v/>
      </c>
      <c r="R16" s="76">
        <f t="shared" si="13"/>
        <v>0.8</v>
      </c>
      <c r="S16" s="4">
        <v>3</v>
      </c>
      <c r="T16" s="4">
        <v>3</v>
      </c>
      <c r="U16" s="4">
        <v>5</v>
      </c>
      <c r="V16" s="4">
        <v>3</v>
      </c>
      <c r="W16" s="77">
        <f t="shared" si="14"/>
        <v>22.5</v>
      </c>
      <c r="X16" s="77">
        <f t="shared" si="15"/>
        <v>7.5</v>
      </c>
      <c r="Y16" s="77" cm="1">
        <f t="array" ref="Y16">_xlfn.IFS(R16&gt;=0.8,5,R16&gt;=0.6,3,R16&gt;=0.2,1,R16&lt;0.2,0)</f>
        <v>5</v>
      </c>
      <c r="Z16" s="140">
        <f t="shared" si="21"/>
        <v>49</v>
      </c>
      <c r="AA16" s="130" t="s">
        <v>1178</v>
      </c>
      <c r="AB16" s="130" t="s">
        <v>1179</v>
      </c>
      <c r="AC16" s="5" t="s">
        <v>251</v>
      </c>
      <c r="AD16" s="5" t="s">
        <v>1180</v>
      </c>
      <c r="AE16" s="5"/>
      <c r="AF16" s="5" t="s">
        <v>1181</v>
      </c>
      <c r="AG16" s="5"/>
      <c r="AH16" s="201">
        <f>IFERROR(AVERAGE(AY16,BI16,BS16,CC16,CM16,CW16,DG16,DQ16,EA16,EK16,EU16)," ")</f>
        <v>0.87974048789222137</v>
      </c>
      <c r="AI16" s="202">
        <f>IFERROR(AVERAGE(BB16,BL16,BV16,CF16,CP16,CZ16,DJ16,DT16,ED16,EN16,EX16)," ")</f>
        <v>22.917713274953897</v>
      </c>
      <c r="AJ16" s="80" t="str">
        <f t="shared" si="18"/>
        <v>HIGH</v>
      </c>
      <c r="AK16" s="80" t="str">
        <f t="shared" si="19"/>
        <v>LOW</v>
      </c>
      <c r="AL16" s="133" t="s">
        <v>1182</v>
      </c>
      <c r="AM16" s="237" t="s">
        <v>1183</v>
      </c>
      <c r="AN16" s="128" t="str">
        <f>IF(AND(Z16&gt;Summary!$C$5, Z16&lt;=Summary!$D$5),Summary!$B$5,IF(AND(Z16&gt;Summary!$C$6, Z16&lt;=Summary!$D$6),Summary!$B$6,IF(AND(Z16&gt;Summary!$C$7, Z16&lt;=Summary!$D$7),Summary!$B$7,Summary!$B$8)))</f>
        <v>△</v>
      </c>
      <c r="AO16" s="14" t="s">
        <v>174</v>
      </c>
      <c r="AP16" s="14"/>
      <c r="AQ16" s="14"/>
      <c r="AR16" s="14"/>
      <c r="AS16" s="14" t="s">
        <v>168</v>
      </c>
      <c r="AT16" s="29" t="s">
        <v>1184</v>
      </c>
      <c r="AU16" s="80" t="s">
        <v>1185</v>
      </c>
      <c r="AV16" s="157" t="s">
        <v>168</v>
      </c>
      <c r="AW16" s="6">
        <v>11</v>
      </c>
      <c r="AX16" s="6">
        <v>9.5</v>
      </c>
      <c r="AY16" s="33">
        <f t="shared" si="42"/>
        <v>1.1578947368421053</v>
      </c>
      <c r="AZ16" s="42">
        <v>0.28100000000000003</v>
      </c>
      <c r="BA16" s="3">
        <v>1</v>
      </c>
      <c r="BB16" s="37">
        <f t="shared" ref="BB16:BB31" si="47">IF(BA16="","",BA16/AZ16)</f>
        <v>3.5587188612099641</v>
      </c>
      <c r="BC16" s="3">
        <v>1</v>
      </c>
      <c r="BD16" s="3">
        <v>1</v>
      </c>
      <c r="BE16" s="80" t="s">
        <v>1186</v>
      </c>
      <c r="BF16" s="157" t="s">
        <v>168</v>
      </c>
      <c r="BG16" s="6">
        <v>56.2</v>
      </c>
      <c r="BH16" s="6">
        <v>151.5</v>
      </c>
      <c r="BI16" s="33">
        <f>IF(BH16="","",BG16/BH16)</f>
        <v>0.37095709570957097</v>
      </c>
      <c r="BJ16" s="42">
        <v>6.274</v>
      </c>
      <c r="BK16" s="3"/>
      <c r="BL16" s="37" t="str">
        <f t="shared" si="23"/>
        <v/>
      </c>
      <c r="BM16" s="3"/>
      <c r="BN16" s="3"/>
      <c r="BO16" s="80" t="s">
        <v>1187</v>
      </c>
      <c r="BP16" s="157" t="s">
        <v>168</v>
      </c>
      <c r="BQ16" s="6">
        <v>11.1</v>
      </c>
      <c r="BR16" s="6">
        <v>8.5</v>
      </c>
      <c r="BS16" s="33">
        <f t="shared" si="24"/>
        <v>1.3058823529411765</v>
      </c>
      <c r="BT16" s="42">
        <v>0.16900000000000001</v>
      </c>
      <c r="BU16" s="3">
        <v>8</v>
      </c>
      <c r="BV16" s="37">
        <f t="shared" si="25"/>
        <v>47.337278106508876</v>
      </c>
      <c r="BW16" s="3">
        <v>8</v>
      </c>
      <c r="BX16" s="87">
        <v>8</v>
      </c>
      <c r="BY16" s="80" t="s">
        <v>1188</v>
      </c>
      <c r="BZ16" s="157" t="s">
        <v>168</v>
      </c>
      <c r="CA16" s="6">
        <v>11.1</v>
      </c>
      <c r="CB16" s="6">
        <v>10</v>
      </c>
      <c r="CC16" s="33">
        <f t="shared" si="43"/>
        <v>1.1099999999999999</v>
      </c>
      <c r="CD16" s="42">
        <v>0.16800000000000001</v>
      </c>
      <c r="CE16" s="3">
        <v>3</v>
      </c>
      <c r="CF16" s="37">
        <f t="shared" si="44"/>
        <v>17.857142857142858</v>
      </c>
      <c r="CG16" s="3">
        <v>3</v>
      </c>
      <c r="CH16" s="3">
        <v>3</v>
      </c>
      <c r="CI16" s="80" t="s">
        <v>1189</v>
      </c>
      <c r="CJ16" s="157" t="s">
        <v>178</v>
      </c>
      <c r="CK16" s="6">
        <v>14.3</v>
      </c>
      <c r="CL16" s="6">
        <v>31.5</v>
      </c>
      <c r="CM16" s="33">
        <f t="shared" si="26"/>
        <v>0.45396825396825397</v>
      </c>
      <c r="CN16" s="42">
        <v>1.5609999999999999</v>
      </c>
      <c r="CO16" s="3"/>
      <c r="CP16" s="37" t="str">
        <f t="shared" si="27"/>
        <v/>
      </c>
      <c r="CQ16" s="3"/>
      <c r="CR16" s="3"/>
      <c r="CS16" s="4"/>
      <c r="CT16" s="157"/>
      <c r="CU16" s="6"/>
      <c r="CV16" s="6"/>
      <c r="CW16" s="33" t="str">
        <f t="shared" si="45"/>
        <v/>
      </c>
      <c r="CX16" s="42"/>
      <c r="CY16" s="3"/>
      <c r="CZ16" s="37" t="str">
        <f t="shared" si="28"/>
        <v/>
      </c>
      <c r="DA16" s="3"/>
      <c r="DB16" s="3"/>
      <c r="DC16" s="4"/>
      <c r="DD16" s="157"/>
      <c r="DE16" s="6"/>
      <c r="DF16" s="6"/>
      <c r="DG16" s="33" t="str">
        <f t="shared" si="29"/>
        <v/>
      </c>
      <c r="DH16" s="42"/>
      <c r="DI16" s="3"/>
      <c r="DJ16" s="37" t="str">
        <f t="shared" si="30"/>
        <v/>
      </c>
      <c r="DK16" s="3"/>
      <c r="DL16" s="3"/>
      <c r="DM16" s="4"/>
      <c r="DN16" s="157"/>
      <c r="DO16" s="6"/>
      <c r="DP16" s="6"/>
      <c r="DQ16" s="33" t="str">
        <f t="shared" si="31"/>
        <v/>
      </c>
      <c r="DR16" s="42"/>
      <c r="DS16" s="3"/>
      <c r="DT16" s="37" t="str">
        <f t="shared" si="32"/>
        <v/>
      </c>
      <c r="DU16" s="3"/>
      <c r="DV16" s="3"/>
      <c r="DW16" s="4"/>
      <c r="DX16" s="157"/>
      <c r="DY16" s="6"/>
      <c r="DZ16" s="6"/>
      <c r="EA16" s="33" t="str">
        <f t="shared" si="33"/>
        <v/>
      </c>
      <c r="EB16" s="42"/>
      <c r="EC16" s="3"/>
      <c r="ED16" s="37" t="str">
        <f t="shared" si="34"/>
        <v/>
      </c>
      <c r="EE16" s="3"/>
      <c r="EF16" s="3"/>
      <c r="EG16" s="4"/>
      <c r="EH16" s="4"/>
      <c r="EI16" s="6"/>
      <c r="EJ16" s="6"/>
      <c r="EK16" s="33" t="str">
        <f t="shared" si="35"/>
        <v/>
      </c>
      <c r="EL16" s="42"/>
      <c r="EM16" s="3"/>
      <c r="EN16" s="37" t="str">
        <f t="shared" si="36"/>
        <v/>
      </c>
      <c r="EO16" s="3"/>
      <c r="EP16" s="3"/>
      <c r="EQ16" s="4"/>
      <c r="ER16" s="4"/>
      <c r="ES16" s="6"/>
      <c r="ET16" s="6"/>
      <c r="EU16" s="33" t="str">
        <f t="shared" si="37"/>
        <v/>
      </c>
      <c r="EV16" s="42"/>
      <c r="EW16" s="3"/>
      <c r="EX16" s="37" t="str">
        <f t="shared" si="38"/>
        <v/>
      </c>
      <c r="EY16" s="3"/>
      <c r="EZ16" s="3"/>
      <c r="FA16" s="4"/>
      <c r="FB16" s="4"/>
      <c r="FC16" s="6"/>
      <c r="FD16" s="6"/>
      <c r="FE16" s="33" t="str">
        <f t="shared" si="39"/>
        <v/>
      </c>
      <c r="FF16" s="42"/>
      <c r="FG16" s="3"/>
      <c r="FH16" s="37" t="str">
        <f t="shared" si="40"/>
        <v/>
      </c>
      <c r="FI16" s="3"/>
      <c r="FJ16" s="3"/>
      <c r="FM16" s="54">
        <f t="shared" si="46"/>
        <v>8.4530000000000012</v>
      </c>
      <c r="FN16" s="54">
        <f t="shared" si="46"/>
        <v>12</v>
      </c>
      <c r="FO16" s="471">
        <f t="shared" si="41"/>
        <v>103.7</v>
      </c>
      <c r="FP16" s="471">
        <f t="shared" si="41"/>
        <v>211</v>
      </c>
    </row>
    <row r="17" spans="2:172" ht="223.5" customHeight="1">
      <c r="B17" s="27" t="s">
        <v>1190</v>
      </c>
      <c r="C17" s="27" t="s">
        <v>384</v>
      </c>
      <c r="D17" s="27" t="s">
        <v>224</v>
      </c>
      <c r="E17" s="4">
        <v>3</v>
      </c>
      <c r="F17" s="123" t="str">
        <f t="shared" si="1"/>
        <v>○
[P・Q]
○・○</v>
      </c>
      <c r="G17" s="123" t="str">
        <f t="shared" si="2"/>
        <v>×
[P・Q]
--・--</v>
      </c>
      <c r="H17" s="123" t="str">
        <f t="shared" si="3"/>
        <v>×
[P・Q]
--・--</v>
      </c>
      <c r="I17" s="123" t="str">
        <f t="shared" si="4"/>
        <v/>
      </c>
      <c r="J17" s="123" t="str">
        <f t="shared" si="5"/>
        <v/>
      </c>
      <c r="K17" s="123" t="str">
        <f t="shared" si="6"/>
        <v/>
      </c>
      <c r="L17" s="123" t="str">
        <f t="shared" si="7"/>
        <v/>
      </c>
      <c r="M17" s="123" t="str">
        <f t="shared" si="8"/>
        <v/>
      </c>
      <c r="N17" s="123" t="str">
        <f t="shared" si="9"/>
        <v/>
      </c>
      <c r="O17" s="123" t="str">
        <f t="shared" si="10"/>
        <v/>
      </c>
      <c r="P17" s="123" t="str">
        <f t="shared" si="11"/>
        <v/>
      </c>
      <c r="Q17" s="123" t="str">
        <f t="shared" si="12"/>
        <v/>
      </c>
      <c r="R17" s="76">
        <f t="shared" si="13"/>
        <v>0.33333333333333331</v>
      </c>
      <c r="S17" s="4">
        <v>4</v>
      </c>
      <c r="T17" s="4">
        <v>5</v>
      </c>
      <c r="U17" s="4">
        <v>5</v>
      </c>
      <c r="V17" s="4">
        <v>5</v>
      </c>
      <c r="W17" s="77">
        <f t="shared" si="14"/>
        <v>12.5</v>
      </c>
      <c r="X17" s="77">
        <f t="shared" si="15"/>
        <v>12.5</v>
      </c>
      <c r="Y17" s="77" cm="1">
        <f t="array" ref="Y17">_xlfn.IFS(R17&gt;=0.8,5,R17&gt;=0.6,3,R17&gt;=0.2,1,R17&lt;0.2,0)</f>
        <v>1</v>
      </c>
      <c r="Z17" s="140">
        <f t="shared" si="21"/>
        <v>45</v>
      </c>
      <c r="AA17" s="129" t="s">
        <v>1191</v>
      </c>
      <c r="AB17" s="129" t="s">
        <v>1192</v>
      </c>
      <c r="AC17" s="80" t="s">
        <v>226</v>
      </c>
      <c r="AD17" s="5" t="s">
        <v>1193</v>
      </c>
      <c r="AE17" s="80" t="s">
        <v>251</v>
      </c>
      <c r="AF17" s="5" t="s">
        <v>1194</v>
      </c>
      <c r="AG17" s="5"/>
      <c r="AH17" s="201">
        <f t="shared" si="16"/>
        <v>1.0666666666666667</v>
      </c>
      <c r="AI17" s="202">
        <f>IFERROR(AVERAGE(BB17,BL17,BV17,CF17,CP17,CZ17,DJ17,DT17,ED17,EN17,EX17)," ")</f>
        <v>2</v>
      </c>
      <c r="AJ17" s="80" t="str">
        <f t="shared" si="18"/>
        <v>HIGH</v>
      </c>
      <c r="AK17" s="80" t="str">
        <f t="shared" si="19"/>
        <v>HIGH</v>
      </c>
      <c r="AL17" s="133" t="s">
        <v>1195</v>
      </c>
      <c r="AM17" s="350" t="s">
        <v>1196</v>
      </c>
      <c r="AN17" s="128" t="str">
        <f>IF(AND(Z17&gt;Summary!$C$5, Z17&lt;=Summary!$D$5),Summary!$B$5,IF(AND(Z17&gt;Summary!$C$6, Z17&lt;=Summary!$D$6),Summary!$B$6,IF(AND(Z17&gt;Summary!$C$7, Z17&lt;=Summary!$D$7),Summary!$B$7,Summary!$B$8)))</f>
        <v>△</v>
      </c>
      <c r="AO17" s="14" t="s">
        <v>168</v>
      </c>
      <c r="AP17" s="14"/>
      <c r="AQ17" s="14"/>
      <c r="AR17" s="14"/>
      <c r="AS17" s="14" t="s">
        <v>168</v>
      </c>
      <c r="AT17" s="29" t="s">
        <v>1197</v>
      </c>
      <c r="AU17" s="80" t="s">
        <v>1198</v>
      </c>
      <c r="AV17" s="157" t="s">
        <v>168</v>
      </c>
      <c r="AW17" s="6">
        <v>11.2</v>
      </c>
      <c r="AX17" s="6">
        <v>10.5</v>
      </c>
      <c r="AY17" s="33">
        <f t="shared" si="42"/>
        <v>1.0666666666666667</v>
      </c>
      <c r="AZ17" s="42">
        <v>0.252</v>
      </c>
      <c r="BA17" s="3">
        <v>2</v>
      </c>
      <c r="BB17" s="37">
        <v>2</v>
      </c>
      <c r="BC17" s="3">
        <v>2</v>
      </c>
      <c r="BD17" s="3">
        <v>2</v>
      </c>
      <c r="BE17" s="80" t="s">
        <v>1199</v>
      </c>
      <c r="BF17" s="157" t="s">
        <v>178</v>
      </c>
      <c r="BG17" s="6">
        <v>23.5</v>
      </c>
      <c r="BH17" s="6"/>
      <c r="BI17" s="33" t="str">
        <f>IF(BH17="","",BG17/BH17)</f>
        <v/>
      </c>
      <c r="BJ17" s="42"/>
      <c r="BK17" s="3"/>
      <c r="BL17" s="37" t="str">
        <f t="shared" si="23"/>
        <v/>
      </c>
      <c r="BM17" s="3"/>
      <c r="BN17" s="3"/>
      <c r="BO17" s="80" t="s">
        <v>1200</v>
      </c>
      <c r="BP17" s="157" t="s">
        <v>178</v>
      </c>
      <c r="BQ17" s="6">
        <v>36.1</v>
      </c>
      <c r="BR17" s="6"/>
      <c r="BS17" s="33" t="str">
        <f t="shared" si="24"/>
        <v/>
      </c>
      <c r="BT17" s="42"/>
      <c r="BU17" s="3"/>
      <c r="BV17" s="37" t="str">
        <f t="shared" si="25"/>
        <v/>
      </c>
      <c r="BW17" s="81"/>
      <c r="BX17" s="106"/>
      <c r="BY17" s="105"/>
      <c r="BZ17" s="157"/>
      <c r="CA17" s="6"/>
      <c r="CB17" s="6"/>
      <c r="CC17" s="33" t="str">
        <f t="shared" si="43"/>
        <v/>
      </c>
      <c r="CD17" s="42"/>
      <c r="CE17" s="3"/>
      <c r="CF17" s="37" t="str">
        <f t="shared" si="44"/>
        <v/>
      </c>
      <c r="CG17" s="3"/>
      <c r="CH17" s="3"/>
      <c r="CI17" s="4"/>
      <c r="CJ17" s="157"/>
      <c r="CK17" s="6"/>
      <c r="CL17" s="6"/>
      <c r="CM17" s="33" t="str">
        <f t="shared" si="26"/>
        <v/>
      </c>
      <c r="CN17" s="42"/>
      <c r="CO17" s="3"/>
      <c r="CP17" s="37" t="str">
        <f t="shared" si="27"/>
        <v/>
      </c>
      <c r="CQ17" s="3"/>
      <c r="CR17" s="3"/>
      <c r="CS17" s="4"/>
      <c r="CT17" s="157"/>
      <c r="CU17" s="6"/>
      <c r="CV17" s="6"/>
      <c r="CW17" s="33" t="str">
        <f t="shared" si="45"/>
        <v/>
      </c>
      <c r="CX17" s="42"/>
      <c r="CY17" s="3"/>
      <c r="CZ17" s="37" t="str">
        <f t="shared" si="28"/>
        <v/>
      </c>
      <c r="DA17" s="3"/>
      <c r="DB17" s="3"/>
      <c r="DC17" s="4"/>
      <c r="DD17" s="157"/>
      <c r="DE17" s="6"/>
      <c r="DF17" s="6"/>
      <c r="DG17" s="33" t="str">
        <f t="shared" si="29"/>
        <v/>
      </c>
      <c r="DH17" s="42"/>
      <c r="DI17" s="3"/>
      <c r="DJ17" s="37" t="str">
        <f t="shared" si="30"/>
        <v/>
      </c>
      <c r="DK17" s="3"/>
      <c r="DL17" s="3"/>
      <c r="DM17" s="4"/>
      <c r="DN17" s="157"/>
      <c r="DO17" s="6"/>
      <c r="DP17" s="6"/>
      <c r="DQ17" s="33" t="str">
        <f t="shared" si="31"/>
        <v/>
      </c>
      <c r="DR17" s="42"/>
      <c r="DS17" s="3"/>
      <c r="DT17" s="37" t="str">
        <f t="shared" si="32"/>
        <v/>
      </c>
      <c r="DU17" s="3"/>
      <c r="DV17" s="3"/>
      <c r="DW17" s="4"/>
      <c r="DX17" s="157"/>
      <c r="DY17" s="6"/>
      <c r="DZ17" s="6"/>
      <c r="EA17" s="33" t="str">
        <f t="shared" si="33"/>
        <v/>
      </c>
      <c r="EB17" s="42"/>
      <c r="EC17" s="3"/>
      <c r="ED17" s="37" t="str">
        <f t="shared" si="34"/>
        <v/>
      </c>
      <c r="EE17" s="3"/>
      <c r="EF17" s="3"/>
      <c r="EG17" s="4"/>
      <c r="EH17" s="4"/>
      <c r="EI17" s="6"/>
      <c r="EJ17" s="6"/>
      <c r="EK17" s="33" t="str">
        <f t="shared" si="35"/>
        <v/>
      </c>
      <c r="EL17" s="42"/>
      <c r="EM17" s="3"/>
      <c r="EN17" s="37" t="str">
        <f t="shared" si="36"/>
        <v/>
      </c>
      <c r="EO17" s="3"/>
      <c r="EP17" s="3"/>
      <c r="EQ17" s="4"/>
      <c r="ER17" s="4"/>
      <c r="ES17" s="6"/>
      <c r="ET17" s="6"/>
      <c r="EU17" s="33" t="str">
        <f t="shared" si="37"/>
        <v/>
      </c>
      <c r="EV17" s="42"/>
      <c r="EW17" s="3"/>
      <c r="EX17" s="37" t="str">
        <f t="shared" si="38"/>
        <v/>
      </c>
      <c r="EY17" s="3"/>
      <c r="EZ17" s="3"/>
      <c r="FA17" s="4"/>
      <c r="FB17" s="4"/>
      <c r="FC17" s="6"/>
      <c r="FD17" s="6"/>
      <c r="FE17" s="33" t="str">
        <f t="shared" si="39"/>
        <v/>
      </c>
      <c r="FF17" s="42"/>
      <c r="FG17" s="3"/>
      <c r="FH17" s="37" t="str">
        <f t="shared" si="40"/>
        <v/>
      </c>
      <c r="FI17" s="3"/>
      <c r="FJ17" s="3"/>
      <c r="FM17" s="54">
        <f t="shared" si="46"/>
        <v>0.252</v>
      </c>
      <c r="FN17" s="54">
        <f t="shared" si="46"/>
        <v>2</v>
      </c>
      <c r="FO17" s="471">
        <f t="shared" si="41"/>
        <v>70.8</v>
      </c>
      <c r="FP17" s="471">
        <f t="shared" si="41"/>
        <v>10.5</v>
      </c>
    </row>
    <row r="18" spans="2:172" ht="143.1">
      <c r="B18" s="3" t="s">
        <v>1201</v>
      </c>
      <c r="C18" s="3" t="s">
        <v>223</v>
      </c>
      <c r="D18" s="3" t="s">
        <v>224</v>
      </c>
      <c r="E18" s="4">
        <v>9</v>
      </c>
      <c r="F18" s="123" t="str">
        <f t="shared" si="1"/>
        <v>×
[P・Q]
○・×</v>
      </c>
      <c r="G18" s="123" t="str">
        <f t="shared" si="2"/>
        <v>×
[P・Q]
×・×</v>
      </c>
      <c r="H18" s="123" t="str">
        <f t="shared" si="3"/>
        <v>×
[P・Q]
○・×</v>
      </c>
      <c r="I18" s="123" t="str">
        <f t="shared" si="4"/>
        <v>×
[P・Q]
○・×</v>
      </c>
      <c r="J18" s="123" t="str">
        <f t="shared" si="5"/>
        <v>×
[P・Q]
○・--</v>
      </c>
      <c r="K18" s="123" t="str">
        <f t="shared" si="6"/>
        <v>×
[P・Q]
○・○</v>
      </c>
      <c r="L18" s="123" t="str">
        <f t="shared" si="7"/>
        <v>×
[P・Q]
○・×</v>
      </c>
      <c r="M18" s="123" t="str">
        <f t="shared" si="8"/>
        <v>×
[P・Q]
○・--</v>
      </c>
      <c r="N18" s="123" t="str">
        <f t="shared" si="9"/>
        <v>×
[P・Q]
○・--</v>
      </c>
      <c r="O18" s="123" t="str">
        <f t="shared" si="10"/>
        <v/>
      </c>
      <c r="P18" s="123" t="str">
        <f t="shared" si="11"/>
        <v/>
      </c>
      <c r="Q18" s="123" t="str">
        <f t="shared" si="12"/>
        <v/>
      </c>
      <c r="R18" s="76">
        <f t="shared" si="13"/>
        <v>1</v>
      </c>
      <c r="S18" s="4">
        <v>4</v>
      </c>
      <c r="T18" s="4">
        <v>5</v>
      </c>
      <c r="U18" s="4">
        <v>3</v>
      </c>
      <c r="V18" s="4">
        <v>4</v>
      </c>
      <c r="W18" s="77">
        <f t="shared" si="14"/>
        <v>33.333333333333336</v>
      </c>
      <c r="X18" s="77">
        <f>((COUNTIF(BB18,"&lt;=8")+COUNTIF(BL18,"&lt;=8")+COUNTIF(BV18,"&lt;=8")+COUNTIF(CF18,"&lt;=8")+COUNTIF(CP18,"&lt;=8")+COUNTIF(CZ18,"&lt;=8")+COUNTIF(DJ18,"&lt;=8")+COUNTIF(DT18,"&lt;=8")+COUNTIF(ED18,"&lt;=8")+COUNTIF(EN18,"&lt;=8")+COUNTIF(EX18,"&lt;=8")+COUNTIF(FH18,"&lt;=8"))*(75/(E18*2)))</f>
        <v>0</v>
      </c>
      <c r="Y18" s="77" cm="1">
        <f t="array" ref="Y18">_xlfn.IFS(R18&gt;=0.8,5,R18&gt;=0.6,3,R18&gt;=0.2,1,R18&lt;0.2,0)</f>
        <v>5</v>
      </c>
      <c r="Z18" s="140">
        <f>SUM(S18:Y18)</f>
        <v>54.333333333333336</v>
      </c>
      <c r="AA18" s="5" t="s">
        <v>1202</v>
      </c>
      <c r="AB18" s="5" t="s">
        <v>1203</v>
      </c>
      <c r="AC18" t="s">
        <v>178</v>
      </c>
      <c r="AD18" s="5" t="s">
        <v>1204</v>
      </c>
      <c r="AE18" s="80" t="s">
        <v>251</v>
      </c>
      <c r="AF18" s="5" t="s">
        <v>1205</v>
      </c>
      <c r="AG18" s="5"/>
      <c r="AH18" s="201">
        <f t="shared" si="16"/>
        <v>1.1925416398732338</v>
      </c>
      <c r="AI18" s="202">
        <f t="shared" si="17"/>
        <v>26.136183335336614</v>
      </c>
      <c r="AJ18" s="80" t="str">
        <f t="shared" si="18"/>
        <v>HIGH</v>
      </c>
      <c r="AK18" s="80" t="str">
        <f t="shared" si="19"/>
        <v>LOW</v>
      </c>
      <c r="AL18" s="133" t="s">
        <v>1206</v>
      </c>
      <c r="AM18" s="237" t="s">
        <v>1207</v>
      </c>
      <c r="AN18" s="128" t="str">
        <f>IF(AND(Z18&gt;Summary!$C$5, Z18&lt;=Summary!$D$5),Summary!$B$5,IF(AND(Z18&gt;Summary!$C$6, Z18&lt;=Summary!$D$6),Summary!$B$6,IF(AND(Z18&gt;Summary!$C$7, Z18&lt;=Summary!$D$7),Summary!$B$7,Summary!$B$8)))</f>
        <v>○</v>
      </c>
      <c r="AO18" s="150" t="s">
        <v>168</v>
      </c>
      <c r="AP18" s="150"/>
      <c r="AQ18" s="14"/>
      <c r="AR18" s="14"/>
      <c r="AS18" s="14" t="s">
        <v>168</v>
      </c>
      <c r="AT18" s="29" t="s">
        <v>245</v>
      </c>
      <c r="AU18" s="80" t="s">
        <v>1208</v>
      </c>
      <c r="AV18" s="157" t="s">
        <v>168</v>
      </c>
      <c r="AW18" s="6">
        <v>11</v>
      </c>
      <c r="AX18" s="6">
        <v>14</v>
      </c>
      <c r="AY18" s="33">
        <f t="shared" si="42"/>
        <v>0.7857142857142857</v>
      </c>
      <c r="AZ18" s="42">
        <v>0.17699999999999999</v>
      </c>
      <c r="BA18" s="3">
        <v>5</v>
      </c>
      <c r="BB18" s="37">
        <f t="shared" si="47"/>
        <v>28.248587570621471</v>
      </c>
      <c r="BC18" s="3">
        <v>5</v>
      </c>
      <c r="BD18" s="3">
        <v>5</v>
      </c>
      <c r="BE18" s="80" t="s">
        <v>1209</v>
      </c>
      <c r="BF18" s="157" t="s">
        <v>168</v>
      </c>
      <c r="BG18" s="6">
        <v>11.2</v>
      </c>
      <c r="BH18" s="6">
        <v>22</v>
      </c>
      <c r="BI18" s="33">
        <f t="shared" si="22"/>
        <v>0.50909090909090904</v>
      </c>
      <c r="BJ18" s="42">
        <v>0.32900000000000001</v>
      </c>
      <c r="BK18" s="3">
        <v>5</v>
      </c>
      <c r="BL18" s="37">
        <f t="shared" si="23"/>
        <v>15.19756838905775</v>
      </c>
      <c r="BM18" s="3">
        <v>5</v>
      </c>
      <c r="BN18" s="3">
        <v>5</v>
      </c>
      <c r="BO18" s="80" t="s">
        <v>1210</v>
      </c>
      <c r="BP18" s="157" t="s">
        <v>168</v>
      </c>
      <c r="BQ18" s="6">
        <v>16</v>
      </c>
      <c r="BR18" s="6">
        <v>17</v>
      </c>
      <c r="BS18" s="33">
        <f t="shared" si="24"/>
        <v>0.94117647058823528</v>
      </c>
      <c r="BT18" s="42">
        <v>0.23699999999999999</v>
      </c>
      <c r="BU18" s="3">
        <v>5</v>
      </c>
      <c r="BV18" s="37">
        <f t="shared" si="25"/>
        <v>21.09704641350211</v>
      </c>
      <c r="BW18" s="3">
        <v>5</v>
      </c>
      <c r="BX18" s="3">
        <v>5</v>
      </c>
      <c r="BY18" s="80" t="s">
        <v>1211</v>
      </c>
      <c r="BZ18" s="157" t="s">
        <v>168</v>
      </c>
      <c r="CA18" s="6">
        <v>20</v>
      </c>
      <c r="CB18" s="6">
        <v>15.5</v>
      </c>
      <c r="CC18" s="33">
        <f t="shared" si="43"/>
        <v>1.2903225806451613</v>
      </c>
      <c r="CD18" s="42">
        <v>0.45800000000000002</v>
      </c>
      <c r="CE18" s="3">
        <v>5</v>
      </c>
      <c r="CF18" s="37">
        <f t="shared" si="44"/>
        <v>10.91703056768559</v>
      </c>
      <c r="CG18" s="3">
        <v>5</v>
      </c>
      <c r="CH18" s="3">
        <v>5</v>
      </c>
      <c r="CI18" s="80" t="s">
        <v>1212</v>
      </c>
      <c r="CJ18" s="157" t="s">
        <v>168</v>
      </c>
      <c r="CK18" s="6">
        <v>16</v>
      </c>
      <c r="CL18" s="6">
        <v>13</v>
      </c>
      <c r="CM18" s="33">
        <f t="shared" si="26"/>
        <v>1.2307692307692308</v>
      </c>
      <c r="CN18" s="42">
        <v>0.35699999999999998</v>
      </c>
      <c r="CO18" s="3"/>
      <c r="CP18" s="37" t="str">
        <f t="shared" si="27"/>
        <v/>
      </c>
      <c r="CQ18" s="3"/>
      <c r="CR18" s="3"/>
      <c r="CS18" s="80" t="s">
        <v>1213</v>
      </c>
      <c r="CT18" s="157" t="s">
        <v>168</v>
      </c>
      <c r="CU18" s="6">
        <v>11</v>
      </c>
      <c r="CV18" s="6">
        <v>7.5</v>
      </c>
      <c r="CW18" s="33">
        <f t="shared" si="45"/>
        <v>1.4666666666666666</v>
      </c>
      <c r="CX18" s="42">
        <v>7.3999999999999996E-2</v>
      </c>
      <c r="CY18" s="3">
        <v>3</v>
      </c>
      <c r="CZ18" s="37">
        <f t="shared" si="28"/>
        <v>40.54054054054054</v>
      </c>
      <c r="DA18" s="3">
        <v>3</v>
      </c>
      <c r="DB18" s="3">
        <v>3</v>
      </c>
      <c r="DC18" s="80" t="s">
        <v>1214</v>
      </c>
      <c r="DD18" s="157" t="s">
        <v>168</v>
      </c>
      <c r="DE18" s="6">
        <v>10.9</v>
      </c>
      <c r="DF18" s="6">
        <v>6.5</v>
      </c>
      <c r="DG18" s="33">
        <f t="shared" si="29"/>
        <v>1.676923076923077</v>
      </c>
      <c r="DH18" s="42">
        <v>9.8000000000000004E-2</v>
      </c>
      <c r="DI18" s="3">
        <v>4</v>
      </c>
      <c r="DJ18" s="37">
        <f t="shared" si="30"/>
        <v>40.816326530612244</v>
      </c>
      <c r="DK18" s="3">
        <v>4</v>
      </c>
      <c r="DL18" s="3">
        <v>4</v>
      </c>
      <c r="DM18" s="80" t="s">
        <v>1215</v>
      </c>
      <c r="DN18" s="157" t="s">
        <v>168</v>
      </c>
      <c r="DO18" s="6">
        <v>25.5</v>
      </c>
      <c r="DP18" s="6">
        <v>16</v>
      </c>
      <c r="DQ18" s="33">
        <f t="shared" si="31"/>
        <v>1.59375</v>
      </c>
      <c r="DR18" s="42">
        <v>1.2809999999999999</v>
      </c>
      <c r="DS18" s="3"/>
      <c r="DT18" s="37" t="str">
        <f t="shared" si="32"/>
        <v/>
      </c>
      <c r="DU18" s="3"/>
      <c r="DV18" s="3"/>
      <c r="DW18" s="80" t="s">
        <v>1215</v>
      </c>
      <c r="DX18" s="157" t="s">
        <v>168</v>
      </c>
      <c r="DY18" s="6">
        <v>16.100000000000001</v>
      </c>
      <c r="DZ18" s="6">
        <v>13</v>
      </c>
      <c r="EA18" s="33">
        <f t="shared" si="33"/>
        <v>1.2384615384615385</v>
      </c>
      <c r="EB18" s="42">
        <v>0.72299999999999998</v>
      </c>
      <c r="EC18" s="3"/>
      <c r="ED18" s="37" t="str">
        <f t="shared" si="34"/>
        <v/>
      </c>
      <c r="EE18" s="3"/>
      <c r="EF18" s="3"/>
      <c r="EG18" s="4"/>
      <c r="EH18" s="4"/>
      <c r="EI18" s="6"/>
      <c r="EJ18" s="6"/>
      <c r="EK18" s="33" t="str">
        <f t="shared" si="35"/>
        <v/>
      </c>
      <c r="EL18" s="42"/>
      <c r="EM18" s="3"/>
      <c r="EN18" s="37" t="str">
        <f t="shared" si="36"/>
        <v/>
      </c>
      <c r="EO18" s="3"/>
      <c r="EP18" s="3"/>
      <c r="EQ18" s="4"/>
      <c r="ER18" s="4"/>
      <c r="ES18" s="6"/>
      <c r="ET18" s="6"/>
      <c r="EU18" s="33" t="str">
        <f t="shared" si="37"/>
        <v/>
      </c>
      <c r="EV18" s="42"/>
      <c r="EW18" s="3"/>
      <c r="EX18" s="37" t="str">
        <f t="shared" si="38"/>
        <v/>
      </c>
      <c r="EY18" s="3"/>
      <c r="EZ18" s="3"/>
      <c r="FA18" s="4"/>
      <c r="FB18" s="4"/>
      <c r="FC18" s="6"/>
      <c r="FD18" s="6"/>
      <c r="FE18" s="33" t="str">
        <f t="shared" si="39"/>
        <v/>
      </c>
      <c r="FF18" s="42"/>
      <c r="FG18" s="3"/>
      <c r="FH18" s="37" t="str">
        <f t="shared" si="40"/>
        <v/>
      </c>
      <c r="FI18" s="3"/>
      <c r="FJ18" s="3"/>
      <c r="FM18" s="54">
        <f t="shared" si="46"/>
        <v>3.734</v>
      </c>
      <c r="FN18" s="54">
        <f t="shared" si="46"/>
        <v>27</v>
      </c>
      <c r="FO18" s="471">
        <f t="shared" si="41"/>
        <v>137.69999999999999</v>
      </c>
      <c r="FP18" s="471">
        <f t="shared" si="41"/>
        <v>124.5</v>
      </c>
    </row>
    <row r="19" spans="2:172" ht="219.95">
      <c r="B19" s="3" t="s">
        <v>1216</v>
      </c>
      <c r="C19" s="3" t="s">
        <v>223</v>
      </c>
      <c r="D19" s="3" t="s">
        <v>224</v>
      </c>
      <c r="E19" s="4">
        <v>4</v>
      </c>
      <c r="F19" s="123" t="str">
        <f t="shared" si="1"/>
        <v>×
[P・Q]
○・--</v>
      </c>
      <c r="G19" s="123" t="str">
        <f t="shared" si="2"/>
        <v>×
[P・Q]
○・×</v>
      </c>
      <c r="H19" s="123" t="str">
        <f t="shared" si="3"/>
        <v>×
[P・Q]
○・×</v>
      </c>
      <c r="I19" s="123" t="str">
        <f t="shared" si="4"/>
        <v>×
[P・Q]
--・--</v>
      </c>
      <c r="J19" s="123" t="str">
        <f t="shared" si="5"/>
        <v/>
      </c>
      <c r="K19" s="123" t="str">
        <f t="shared" si="6"/>
        <v/>
      </c>
      <c r="L19" s="123" t="str">
        <f t="shared" si="7"/>
        <v/>
      </c>
      <c r="M19" s="123" t="str">
        <f t="shared" si="8"/>
        <v/>
      </c>
      <c r="N19" s="123" t="str">
        <f t="shared" si="9"/>
        <v/>
      </c>
      <c r="O19" s="123" t="str">
        <f t="shared" si="10"/>
        <v/>
      </c>
      <c r="P19" s="123" t="str">
        <f t="shared" si="11"/>
        <v/>
      </c>
      <c r="Q19" s="123" t="str">
        <f t="shared" si="12"/>
        <v/>
      </c>
      <c r="R19" s="76">
        <f t="shared" si="13"/>
        <v>0.75</v>
      </c>
      <c r="S19" s="4">
        <v>5</v>
      </c>
      <c r="T19" s="4">
        <v>5</v>
      </c>
      <c r="U19" s="4">
        <v>3</v>
      </c>
      <c r="V19" s="4">
        <v>4</v>
      </c>
      <c r="W19" s="77">
        <f t="shared" si="14"/>
        <v>28.125</v>
      </c>
      <c r="X19" s="77">
        <f t="shared" si="15"/>
        <v>0</v>
      </c>
      <c r="Y19" s="77" cm="1">
        <f t="array" ref="Y19">_xlfn.IFS(R19&gt;=0.8,5,R19&gt;=0.6,3,R19&gt;=0.2,1,R19&lt;0.2,0)</f>
        <v>3</v>
      </c>
      <c r="Z19" s="140">
        <f t="shared" si="21"/>
        <v>48.125</v>
      </c>
      <c r="AA19" s="130" t="s">
        <v>1217</v>
      </c>
      <c r="AB19" s="130" t="s">
        <v>1218</v>
      </c>
      <c r="AC19" s="80" t="s">
        <v>226</v>
      </c>
      <c r="AD19" s="5" t="s">
        <v>1219</v>
      </c>
      <c r="AE19" s="5"/>
      <c r="AF19" s="5" t="s">
        <v>1220</v>
      </c>
      <c r="AG19" s="5"/>
      <c r="AH19" s="201">
        <f t="shared" si="16"/>
        <v>1.1669492373093273</v>
      </c>
      <c r="AI19" s="202">
        <f t="shared" si="17"/>
        <v>15.970453387671931</v>
      </c>
      <c r="AJ19" s="80" t="str">
        <f t="shared" si="18"/>
        <v>HIGH</v>
      </c>
      <c r="AK19" s="80" t="str">
        <f t="shared" si="19"/>
        <v>LOW</v>
      </c>
      <c r="AL19" s="237" t="s">
        <v>1221</v>
      </c>
      <c r="AM19" s="237" t="s">
        <v>1222</v>
      </c>
      <c r="AN19" s="162" t="str">
        <f>IF(AND(Z19&gt;Summary!$C$5, Z19&lt;=Summary!$D$5),Summary!$B$5,IF(AND(Z19&gt;Summary!$C$6, Z19&lt;=Summary!$D$6),Summary!$B$6,IF(AND(Z19&gt;Summary!$C$7, Z19&lt;=Summary!$D$7),Summary!$B$7,Summary!$B$8)))</f>
        <v>△</v>
      </c>
      <c r="AO19" s="14" t="s">
        <v>168</v>
      </c>
      <c r="AP19" s="14"/>
      <c r="AQ19" s="14"/>
      <c r="AR19" s="197"/>
      <c r="AS19" s="197" t="s">
        <v>168</v>
      </c>
      <c r="AT19" s="5" t="s">
        <v>1223</v>
      </c>
      <c r="AU19" s="80" t="s">
        <v>1224</v>
      </c>
      <c r="AV19" s="157" t="s">
        <v>168</v>
      </c>
      <c r="AW19" s="6">
        <v>11.1</v>
      </c>
      <c r="AX19" s="6">
        <v>10</v>
      </c>
      <c r="AY19" s="33">
        <f t="shared" si="42"/>
        <v>1.1099999999999999</v>
      </c>
      <c r="AZ19" s="42">
        <v>0.158</v>
      </c>
      <c r="BA19" s="3"/>
      <c r="BB19" s="37" t="str">
        <f t="shared" si="47"/>
        <v/>
      </c>
      <c r="BC19" s="3"/>
      <c r="BD19" s="3"/>
      <c r="BE19" s="80" t="s">
        <v>1225</v>
      </c>
      <c r="BF19" s="157" t="s">
        <v>168</v>
      </c>
      <c r="BG19" s="6">
        <v>47.6</v>
      </c>
      <c r="BH19" s="6">
        <v>43</v>
      </c>
      <c r="BI19" s="33">
        <f t="shared" si="22"/>
        <v>1.1069767441860465</v>
      </c>
      <c r="BJ19" s="42">
        <v>0.30199999999999999</v>
      </c>
      <c r="BK19" s="3">
        <v>5</v>
      </c>
      <c r="BL19" s="37">
        <f t="shared" si="23"/>
        <v>16.556291390728479</v>
      </c>
      <c r="BM19" s="3">
        <v>5</v>
      </c>
      <c r="BN19" s="3">
        <v>5</v>
      </c>
      <c r="BO19" s="80" t="s">
        <v>1226</v>
      </c>
      <c r="BP19" s="157" t="s">
        <v>168</v>
      </c>
      <c r="BQ19" s="6">
        <v>19.899999999999999</v>
      </c>
      <c r="BR19" s="6">
        <v>15.5</v>
      </c>
      <c r="BS19" s="33">
        <f t="shared" si="24"/>
        <v>1.2838709677419353</v>
      </c>
      <c r="BT19" s="42">
        <v>0.19500000000000001</v>
      </c>
      <c r="BU19" s="3">
        <v>3</v>
      </c>
      <c r="BV19" s="37">
        <f t="shared" si="25"/>
        <v>15.384615384615383</v>
      </c>
      <c r="BW19" s="3">
        <v>3</v>
      </c>
      <c r="BX19" s="3">
        <v>3</v>
      </c>
      <c r="BY19" s="80" t="s">
        <v>1227</v>
      </c>
      <c r="BZ19" s="157" t="s">
        <v>178</v>
      </c>
      <c r="CA19" s="6">
        <v>22.75</v>
      </c>
      <c r="CB19" s="6"/>
      <c r="CC19" s="33" t="str">
        <f t="shared" si="43"/>
        <v/>
      </c>
      <c r="CD19" s="42"/>
      <c r="CE19" s="3"/>
      <c r="CF19" s="37" t="str">
        <f t="shared" si="44"/>
        <v/>
      </c>
      <c r="CG19" s="3"/>
      <c r="CH19" s="3"/>
      <c r="CI19" s="80"/>
      <c r="CJ19" s="157"/>
      <c r="CK19" s="6"/>
      <c r="CL19" s="6"/>
      <c r="CM19" s="33"/>
      <c r="CN19" s="42"/>
      <c r="CO19" s="3"/>
      <c r="CP19" s="37"/>
      <c r="CQ19" s="3"/>
      <c r="CR19" s="3"/>
      <c r="CS19" s="80"/>
      <c r="CT19" s="157"/>
      <c r="CU19" s="6"/>
      <c r="CV19" s="6"/>
      <c r="CW19" s="33"/>
      <c r="CX19" s="42"/>
      <c r="CY19" s="3"/>
      <c r="CZ19" s="37"/>
      <c r="DA19" s="3"/>
      <c r="DB19" s="3"/>
      <c r="DC19" s="4"/>
      <c r="DD19" s="157"/>
      <c r="DE19" s="6"/>
      <c r="DF19" s="6"/>
      <c r="DG19" s="33" t="str">
        <f t="shared" si="29"/>
        <v/>
      </c>
      <c r="DH19" s="42"/>
      <c r="DI19" s="3"/>
      <c r="DJ19" s="37" t="str">
        <f t="shared" si="30"/>
        <v/>
      </c>
      <c r="DK19" s="3"/>
      <c r="DL19" s="3"/>
      <c r="DM19" s="4"/>
      <c r="DN19" s="157"/>
      <c r="DO19" s="6"/>
      <c r="DP19" s="6"/>
      <c r="DQ19" s="33" t="str">
        <f t="shared" si="31"/>
        <v/>
      </c>
      <c r="DR19" s="42"/>
      <c r="DS19" s="3"/>
      <c r="DT19" s="37" t="str">
        <f t="shared" si="32"/>
        <v/>
      </c>
      <c r="DU19" s="3"/>
      <c r="DV19" s="3"/>
      <c r="DW19" s="4"/>
      <c r="DX19" s="157"/>
      <c r="DY19" s="6"/>
      <c r="DZ19" s="6"/>
      <c r="EA19" s="33" t="str">
        <f t="shared" si="33"/>
        <v/>
      </c>
      <c r="EB19" s="42"/>
      <c r="EC19" s="3"/>
      <c r="ED19" s="37" t="str">
        <f t="shared" si="34"/>
        <v/>
      </c>
      <c r="EE19" s="3"/>
      <c r="EF19" s="3"/>
      <c r="EG19" s="4"/>
      <c r="EH19" s="4"/>
      <c r="EI19" s="6"/>
      <c r="EJ19" s="6"/>
      <c r="EK19" s="33" t="str">
        <f t="shared" si="35"/>
        <v/>
      </c>
      <c r="EL19" s="42"/>
      <c r="EM19" s="3"/>
      <c r="EN19" s="37" t="str">
        <f t="shared" si="36"/>
        <v/>
      </c>
      <c r="EO19" s="3"/>
      <c r="EP19" s="3"/>
      <c r="EQ19" s="4"/>
      <c r="ER19" s="4"/>
      <c r="ES19" s="6"/>
      <c r="ET19" s="6"/>
      <c r="EU19" s="33" t="str">
        <f t="shared" si="37"/>
        <v/>
      </c>
      <c r="EV19" s="42"/>
      <c r="EW19" s="3"/>
      <c r="EX19" s="37" t="str">
        <f t="shared" si="38"/>
        <v/>
      </c>
      <c r="EY19" s="3"/>
      <c r="EZ19" s="3"/>
      <c r="FA19" s="4"/>
      <c r="FB19" s="4"/>
      <c r="FC19" s="6"/>
      <c r="FD19" s="6"/>
      <c r="FE19" s="33" t="str">
        <f t="shared" si="39"/>
        <v/>
      </c>
      <c r="FF19" s="42"/>
      <c r="FG19" s="3"/>
      <c r="FH19" s="37" t="str">
        <f t="shared" si="40"/>
        <v/>
      </c>
      <c r="FI19" s="3"/>
      <c r="FJ19" s="3"/>
      <c r="FM19" s="54">
        <f t="shared" si="46"/>
        <v>0.65500000000000003</v>
      </c>
      <c r="FN19" s="54">
        <f t="shared" si="46"/>
        <v>8</v>
      </c>
      <c r="FO19" s="471">
        <f t="shared" si="41"/>
        <v>101.35</v>
      </c>
      <c r="FP19" s="471">
        <f t="shared" si="41"/>
        <v>68.5</v>
      </c>
    </row>
    <row r="20" spans="2:172" ht="87.95">
      <c r="B20" s="3" t="s">
        <v>1228</v>
      </c>
      <c r="C20" s="3" t="s">
        <v>223</v>
      </c>
      <c r="D20" s="3" t="s">
        <v>224</v>
      </c>
      <c r="E20" s="4">
        <v>3</v>
      </c>
      <c r="F20" s="123" t="str">
        <f t="shared" si="1"/>
        <v>×
[P・Q]
○・×</v>
      </c>
      <c r="G20" s="123" t="str">
        <f t="shared" si="2"/>
        <v>×
[P・Q]
○・--</v>
      </c>
      <c r="H20" s="123" t="str">
        <f t="shared" si="3"/>
        <v>○
[P・Q]
○・○</v>
      </c>
      <c r="I20" s="123" t="str">
        <f t="shared" si="4"/>
        <v/>
      </c>
      <c r="J20" s="123" t="str">
        <f t="shared" si="5"/>
        <v/>
      </c>
      <c r="K20" s="123" t="str">
        <f t="shared" si="6"/>
        <v/>
      </c>
      <c r="L20" s="123" t="str">
        <f t="shared" si="7"/>
        <v/>
      </c>
      <c r="M20" s="123" t="str">
        <f t="shared" si="8"/>
        <v/>
      </c>
      <c r="N20" s="123" t="str">
        <f t="shared" si="9"/>
        <v/>
      </c>
      <c r="O20" s="123" t="str">
        <f t="shared" si="10"/>
        <v/>
      </c>
      <c r="P20" s="123" t="str">
        <f t="shared" si="11"/>
        <v/>
      </c>
      <c r="Q20" s="123" t="str">
        <f t="shared" si="12"/>
        <v/>
      </c>
      <c r="R20" s="76">
        <f t="shared" si="13"/>
        <v>1</v>
      </c>
      <c r="S20" s="4">
        <v>4</v>
      </c>
      <c r="T20" s="4">
        <v>5</v>
      </c>
      <c r="U20" s="4">
        <v>4</v>
      </c>
      <c r="V20" s="4">
        <v>4</v>
      </c>
      <c r="W20" s="77">
        <f t="shared" si="14"/>
        <v>37.5</v>
      </c>
      <c r="X20" s="77">
        <f t="shared" si="15"/>
        <v>12.5</v>
      </c>
      <c r="Y20" s="77" cm="1">
        <f t="array" ref="Y20">_xlfn.IFS(R20&gt;=0.8,5,R20&gt;=0.6,3,R20&gt;=0.2,1,R20&lt;0.2,0)</f>
        <v>5</v>
      </c>
      <c r="Z20" s="140">
        <f t="shared" si="21"/>
        <v>72</v>
      </c>
      <c r="AA20" s="129" t="s">
        <v>1229</v>
      </c>
      <c r="AB20" s="129" t="s">
        <v>1230</v>
      </c>
      <c r="AC20" s="328" t="s">
        <v>226</v>
      </c>
      <c r="AD20" s="329" t="s">
        <v>1231</v>
      </c>
      <c r="AE20" s="306" t="s">
        <v>251</v>
      </c>
      <c r="AF20" s="130" t="s">
        <v>1232</v>
      </c>
      <c r="AG20" s="130"/>
      <c r="AH20" s="330">
        <f t="shared" si="16"/>
        <v>2.3590806185487896</v>
      </c>
      <c r="AI20" s="331">
        <f t="shared" si="17"/>
        <v>22.727272727272727</v>
      </c>
      <c r="AJ20" s="100" t="str">
        <f t="shared" si="18"/>
        <v>HIGH</v>
      </c>
      <c r="AK20" s="100" t="str">
        <f t="shared" si="19"/>
        <v>LOW</v>
      </c>
      <c r="AL20" s="130"/>
      <c r="AM20" s="130"/>
      <c r="AN20" s="162" t="str">
        <f>IF(AND(Z20&gt;Summary!$C$5, Z20&lt;=Summary!$D$5),Summary!$B$5,IF(AND(Z20&gt;Summary!$C$6, Z20&lt;=Summary!$D$6),Summary!$B$6,IF(AND(Z20&gt;Summary!$C$7, Z20&lt;=Summary!$D$7),Summary!$B$7,Summary!$B$8)))</f>
        <v>◎</v>
      </c>
      <c r="AO20" s="14" t="s">
        <v>168</v>
      </c>
      <c r="AP20" s="14"/>
      <c r="AQ20" s="14" t="s">
        <v>168</v>
      </c>
      <c r="AR20" s="197"/>
      <c r="AS20" s="197"/>
      <c r="AT20" s="141" t="s">
        <v>245</v>
      </c>
      <c r="AU20" s="80" t="s">
        <v>1233</v>
      </c>
      <c r="AV20" s="157" t="s">
        <v>168</v>
      </c>
      <c r="AW20" s="6">
        <v>15.9</v>
      </c>
      <c r="AX20" s="6">
        <v>7.3</v>
      </c>
      <c r="AY20" s="33">
        <f t="shared" si="42"/>
        <v>2.1780821917808222</v>
      </c>
      <c r="AZ20" s="42">
        <v>6.6000000000000003E-2</v>
      </c>
      <c r="BA20" s="3">
        <v>3</v>
      </c>
      <c r="BB20" s="37">
        <f t="shared" si="47"/>
        <v>45.454545454545453</v>
      </c>
      <c r="BC20" s="3">
        <v>3</v>
      </c>
      <c r="BD20" s="3">
        <v>3</v>
      </c>
      <c r="BE20" s="83" t="s">
        <v>1234</v>
      </c>
      <c r="BF20" s="158" t="s">
        <v>168</v>
      </c>
      <c r="BG20" s="84">
        <v>52.2</v>
      </c>
      <c r="BH20" s="84">
        <v>14</v>
      </c>
      <c r="BI20" s="85">
        <f t="shared" si="22"/>
        <v>3.7285714285714286</v>
      </c>
      <c r="BJ20" s="86">
        <v>0.23400000000000001</v>
      </c>
      <c r="BK20" s="87"/>
      <c r="BL20" s="88" t="str">
        <f t="shared" si="23"/>
        <v/>
      </c>
      <c r="BM20" s="87"/>
      <c r="BN20" s="87"/>
      <c r="BO20" s="80" t="s">
        <v>1235</v>
      </c>
      <c r="BP20" s="157" t="s">
        <v>168</v>
      </c>
      <c r="BQ20" s="6">
        <v>19.899999999999999</v>
      </c>
      <c r="BR20" s="6">
        <v>17</v>
      </c>
      <c r="BS20" s="33">
        <f t="shared" si="24"/>
        <v>1.1705882352941175</v>
      </c>
      <c r="BT20" s="42">
        <v>0.23400000000000001</v>
      </c>
      <c r="BU20" s="3"/>
      <c r="BV20" s="37">
        <v>0</v>
      </c>
      <c r="BW20" s="3"/>
      <c r="BX20" s="3"/>
      <c r="BY20" s="80"/>
      <c r="BZ20" s="157"/>
      <c r="CA20" s="6"/>
      <c r="CB20" s="6"/>
      <c r="CC20" s="33" t="str">
        <f t="shared" si="43"/>
        <v/>
      </c>
      <c r="CD20" s="42"/>
      <c r="CE20" s="3"/>
      <c r="CF20" s="37" t="str">
        <f t="shared" si="44"/>
        <v/>
      </c>
      <c r="CG20" s="3"/>
      <c r="CH20" s="3"/>
      <c r="CI20" s="4"/>
      <c r="CJ20" s="157"/>
      <c r="CK20" s="6"/>
      <c r="CL20" s="6"/>
      <c r="CM20" s="33" t="str">
        <f t="shared" si="26"/>
        <v/>
      </c>
      <c r="CN20" s="42"/>
      <c r="CO20" s="3"/>
      <c r="CP20" s="37" t="str">
        <f t="shared" si="27"/>
        <v/>
      </c>
      <c r="CQ20" s="3"/>
      <c r="CR20" s="3"/>
      <c r="CS20" s="4"/>
      <c r="CT20" s="157"/>
      <c r="CU20" s="6"/>
      <c r="CV20" s="6"/>
      <c r="CW20" s="33" t="str">
        <f t="shared" si="45"/>
        <v/>
      </c>
      <c r="CX20" s="42"/>
      <c r="CY20" s="3"/>
      <c r="CZ20" s="37" t="str">
        <f t="shared" si="28"/>
        <v/>
      </c>
      <c r="DA20" s="3"/>
      <c r="DB20" s="3"/>
      <c r="DC20" s="4"/>
      <c r="DD20" s="157"/>
      <c r="DE20" s="6"/>
      <c r="DF20" s="6"/>
      <c r="DG20" s="33" t="str">
        <f t="shared" si="29"/>
        <v/>
      </c>
      <c r="DH20" s="42"/>
      <c r="DI20" s="3"/>
      <c r="DJ20" s="37" t="str">
        <f t="shared" si="30"/>
        <v/>
      </c>
      <c r="DK20" s="3"/>
      <c r="DL20" s="3"/>
      <c r="DM20" s="4"/>
      <c r="DN20" s="157"/>
      <c r="DO20" s="6"/>
      <c r="DP20" s="6"/>
      <c r="DQ20" s="33" t="str">
        <f t="shared" si="31"/>
        <v/>
      </c>
      <c r="DR20" s="42"/>
      <c r="DS20" s="3"/>
      <c r="DT20" s="37" t="str">
        <f t="shared" si="32"/>
        <v/>
      </c>
      <c r="DU20" s="3"/>
      <c r="DV20" s="3"/>
      <c r="DW20" s="4"/>
      <c r="DX20" s="157"/>
      <c r="DY20" s="6"/>
      <c r="DZ20" s="6"/>
      <c r="EA20" s="33" t="str">
        <f t="shared" si="33"/>
        <v/>
      </c>
      <c r="EB20" s="42"/>
      <c r="EC20" s="3"/>
      <c r="ED20" s="37" t="str">
        <f t="shared" si="34"/>
        <v/>
      </c>
      <c r="EE20" s="3"/>
      <c r="EF20" s="3"/>
      <c r="EG20" s="4"/>
      <c r="EH20" s="4"/>
      <c r="EI20" s="6"/>
      <c r="EJ20" s="6"/>
      <c r="EK20" s="33" t="str">
        <f t="shared" si="35"/>
        <v/>
      </c>
      <c r="EL20" s="42"/>
      <c r="EM20" s="3"/>
      <c r="EN20" s="37" t="str">
        <f t="shared" si="36"/>
        <v/>
      </c>
      <c r="EO20" s="3"/>
      <c r="EP20" s="3"/>
      <c r="EQ20" s="4"/>
      <c r="ER20" s="4"/>
      <c r="ES20" s="6"/>
      <c r="ET20" s="6"/>
      <c r="EU20" s="33" t="str">
        <f t="shared" si="37"/>
        <v/>
      </c>
      <c r="EV20" s="42"/>
      <c r="EW20" s="3"/>
      <c r="EX20" s="37" t="str">
        <f t="shared" si="38"/>
        <v/>
      </c>
      <c r="EY20" s="3"/>
      <c r="EZ20" s="3"/>
      <c r="FA20" s="4"/>
      <c r="FB20" s="4"/>
      <c r="FC20" s="6"/>
      <c r="FD20" s="6"/>
      <c r="FE20" s="33" t="str">
        <f t="shared" si="39"/>
        <v/>
      </c>
      <c r="FF20" s="42"/>
      <c r="FG20" s="3"/>
      <c r="FH20" s="37" t="str">
        <f t="shared" si="40"/>
        <v/>
      </c>
      <c r="FI20" s="3"/>
      <c r="FJ20" s="3"/>
      <c r="FM20" s="54">
        <f t="shared" si="46"/>
        <v>0.53400000000000003</v>
      </c>
      <c r="FN20" s="54">
        <f t="shared" si="46"/>
        <v>3</v>
      </c>
      <c r="FO20" s="471">
        <f t="shared" si="41"/>
        <v>88</v>
      </c>
      <c r="FP20" s="471">
        <f t="shared" si="41"/>
        <v>38.299999999999997</v>
      </c>
    </row>
    <row r="21" spans="2:172" ht="100.35" customHeight="1">
      <c r="B21" s="27" t="s">
        <v>1236</v>
      </c>
      <c r="C21" s="27" t="s">
        <v>223</v>
      </c>
      <c r="D21" s="27" t="s">
        <v>224</v>
      </c>
      <c r="E21" s="4">
        <v>6</v>
      </c>
      <c r="F21" s="123" t="str">
        <f t="shared" si="1"/>
        <v>○
[P・Q]
○・○</v>
      </c>
      <c r="G21" s="123" t="str">
        <f t="shared" si="2"/>
        <v>×
[P・Q]
○・×</v>
      </c>
      <c r="H21" s="123" t="str">
        <f t="shared" si="3"/>
        <v>○
[P・Q]
○・○</v>
      </c>
      <c r="I21" s="123" t="str">
        <f t="shared" si="4"/>
        <v>×
[P・Q]
○・×</v>
      </c>
      <c r="J21" s="123" t="str">
        <f t="shared" si="5"/>
        <v>×
[P・Q]
○・--</v>
      </c>
      <c r="K21" s="123" t="str">
        <f t="shared" si="6"/>
        <v>×
[P・Q]
○・--</v>
      </c>
      <c r="L21" s="123" t="str">
        <f t="shared" si="7"/>
        <v/>
      </c>
      <c r="M21" s="123" t="str">
        <f t="shared" si="8"/>
        <v/>
      </c>
      <c r="N21" s="123" t="str">
        <f t="shared" si="9"/>
        <v/>
      </c>
      <c r="O21" s="123" t="str">
        <f t="shared" si="10"/>
        <v/>
      </c>
      <c r="P21" s="123" t="str">
        <f t="shared" si="11"/>
        <v/>
      </c>
      <c r="Q21" s="123" t="str">
        <f t="shared" si="12"/>
        <v/>
      </c>
      <c r="R21" s="76">
        <f t="shared" si="13"/>
        <v>1</v>
      </c>
      <c r="S21" s="4">
        <v>5</v>
      </c>
      <c r="T21" s="4">
        <v>5</v>
      </c>
      <c r="U21" s="4">
        <v>5</v>
      </c>
      <c r="V21" s="4">
        <v>3</v>
      </c>
      <c r="W21" s="77">
        <f t="shared" si="14"/>
        <v>37.5</v>
      </c>
      <c r="X21" s="77">
        <f t="shared" si="15"/>
        <v>12.5</v>
      </c>
      <c r="Y21" s="77" cm="1">
        <f t="array" ref="Y21">_xlfn.IFS(R21&gt;=0.8,5,R21&gt;=0.6,3,R21&gt;=0.2,1,R21&lt;0.2,0)</f>
        <v>5</v>
      </c>
      <c r="Z21" s="140">
        <f t="shared" si="21"/>
        <v>73</v>
      </c>
      <c r="AA21" s="5" t="s">
        <v>1237</v>
      </c>
      <c r="AB21" s="5" t="s">
        <v>1230</v>
      </c>
      <c r="AC21" s="129"/>
      <c r="AD21" s="324"/>
      <c r="AE21" s="304"/>
      <c r="AF21" s="129" t="s">
        <v>1238</v>
      </c>
      <c r="AG21" s="129"/>
      <c r="AH21" s="325">
        <f t="shared" si="16"/>
        <v>1.1062966059689223</v>
      </c>
      <c r="AI21" s="326">
        <f t="shared" si="17"/>
        <v>15.668332161192914</v>
      </c>
      <c r="AJ21" s="83" t="str">
        <f t="shared" si="18"/>
        <v>HIGH</v>
      </c>
      <c r="AK21" s="83" t="str">
        <f t="shared" si="19"/>
        <v>LOW</v>
      </c>
      <c r="AL21" s="327"/>
      <c r="AM21" s="327"/>
      <c r="AN21" s="162" t="str">
        <f>IF(AND(Z21&gt;Summary!$C$5, Z21&lt;=Summary!$D$5),Summary!$B$5,IF(AND(Z21&gt;Summary!$C$6, Z21&lt;=Summary!$D$6),Summary!$B$6,IF(AND(Z21&gt;Summary!$C$7, Z21&lt;=Summary!$D$7),Summary!$B$7,Summary!$B$8)))</f>
        <v>◎</v>
      </c>
      <c r="AO21" s="127" t="s">
        <v>389</v>
      </c>
      <c r="AP21" s="127" t="s">
        <v>303</v>
      </c>
      <c r="AQ21" s="14"/>
      <c r="AR21" s="197"/>
      <c r="AS21" s="197"/>
      <c r="AT21" s="141" t="s">
        <v>231</v>
      </c>
      <c r="AU21" s="80" t="s">
        <v>1239</v>
      </c>
      <c r="AV21" s="157" t="s">
        <v>168</v>
      </c>
      <c r="AW21" s="6">
        <v>23.5</v>
      </c>
      <c r="AX21" s="6">
        <v>21</v>
      </c>
      <c r="AY21" s="33">
        <f>IF(AX21="","",AW21/AX21)</f>
        <v>1.1190476190476191</v>
      </c>
      <c r="AZ21" s="42">
        <v>0.91400000000000003</v>
      </c>
      <c r="BA21" s="3">
        <v>5</v>
      </c>
      <c r="BB21" s="37">
        <f>IF(BA21="","",BA21/AZ21)</f>
        <v>5.4704595185995624</v>
      </c>
      <c r="BC21" s="3">
        <v>5</v>
      </c>
      <c r="BD21" s="81">
        <v>5</v>
      </c>
      <c r="BE21" s="101" t="s">
        <v>1240</v>
      </c>
      <c r="BF21" s="159" t="s">
        <v>168</v>
      </c>
      <c r="BG21" s="96">
        <v>15.9</v>
      </c>
      <c r="BH21" s="95">
        <v>14</v>
      </c>
      <c r="BI21" s="97">
        <f>IF(BH21="","",BG21/BH21)</f>
        <v>1.1357142857142857</v>
      </c>
      <c r="BJ21" s="94">
        <v>8.7999999999999995E-2</v>
      </c>
      <c r="BK21" s="94">
        <v>3</v>
      </c>
      <c r="BL21" s="98">
        <f>IF(BK21="","",BK21/BJ21)</f>
        <v>34.090909090909093</v>
      </c>
      <c r="BM21" s="96">
        <v>3</v>
      </c>
      <c r="BN21" s="94">
        <v>3</v>
      </c>
      <c r="BO21" s="82" t="s">
        <v>1241</v>
      </c>
      <c r="BP21" s="157" t="s">
        <v>168</v>
      </c>
      <c r="BQ21" s="6">
        <v>11.1</v>
      </c>
      <c r="BR21" s="6">
        <v>11</v>
      </c>
      <c r="BS21" s="33">
        <f t="shared" si="24"/>
        <v>1.009090909090909</v>
      </c>
      <c r="BT21" s="42">
        <v>0.41499999999999998</v>
      </c>
      <c r="BU21" s="3">
        <v>2</v>
      </c>
      <c r="BV21" s="37">
        <f t="shared" si="25"/>
        <v>4.8192771084337354</v>
      </c>
      <c r="BW21" s="3">
        <v>2</v>
      </c>
      <c r="BX21" s="3">
        <v>2</v>
      </c>
      <c r="BY21" s="80" t="s">
        <v>1242</v>
      </c>
      <c r="BZ21" s="157" t="s">
        <v>168</v>
      </c>
      <c r="CA21" s="6">
        <v>11.1</v>
      </c>
      <c r="CB21" s="6">
        <v>10.54</v>
      </c>
      <c r="CC21" s="33">
        <f t="shared" si="43"/>
        <v>1.0531309297912714</v>
      </c>
      <c r="CD21" s="42">
        <v>0.16400000000000001</v>
      </c>
      <c r="CE21" s="3">
        <v>3</v>
      </c>
      <c r="CF21" s="37">
        <f t="shared" si="44"/>
        <v>18.292682926829269</v>
      </c>
      <c r="CG21" s="3">
        <v>3</v>
      </c>
      <c r="CH21" s="3">
        <v>3</v>
      </c>
      <c r="CI21" s="80" t="s">
        <v>1243</v>
      </c>
      <c r="CJ21" s="157" t="s">
        <v>168</v>
      </c>
      <c r="CK21" s="6">
        <v>23.3</v>
      </c>
      <c r="CL21" s="6">
        <v>20.5</v>
      </c>
      <c r="CM21" s="33">
        <f t="shared" si="26"/>
        <v>1.1365853658536587</v>
      </c>
      <c r="CN21" s="42">
        <v>1.071</v>
      </c>
      <c r="CO21" s="3"/>
      <c r="CP21" s="37" t="str">
        <f>IF(CO21="","",CO21/CN21)</f>
        <v/>
      </c>
      <c r="CQ21" s="3"/>
      <c r="CR21" s="3"/>
      <c r="CS21" s="80" t="s">
        <v>1244</v>
      </c>
      <c r="CT21" s="157" t="s">
        <v>168</v>
      </c>
      <c r="CU21" s="6">
        <v>22.5</v>
      </c>
      <c r="CV21" s="6">
        <v>19</v>
      </c>
      <c r="CW21" s="33">
        <f t="shared" si="45"/>
        <v>1.1842105263157894</v>
      </c>
      <c r="CX21" s="42">
        <v>0.755</v>
      </c>
      <c r="CY21" s="3"/>
      <c r="CZ21" s="37" t="str">
        <f t="shared" si="28"/>
        <v/>
      </c>
      <c r="DA21" s="3"/>
      <c r="DB21" s="3"/>
      <c r="DC21" s="80"/>
      <c r="DD21" s="157"/>
      <c r="DE21" s="6"/>
      <c r="DF21" s="6"/>
      <c r="DG21" s="33"/>
      <c r="DH21" s="42"/>
      <c r="DI21" s="3"/>
      <c r="DJ21" s="37"/>
      <c r="DK21" s="3"/>
      <c r="DL21" s="3"/>
      <c r="DM21" s="80"/>
      <c r="DN21" s="157"/>
      <c r="DO21" s="6"/>
      <c r="DP21" s="6"/>
      <c r="DQ21" s="33" t="str">
        <f t="shared" si="31"/>
        <v/>
      </c>
      <c r="DR21" s="42"/>
      <c r="DS21" s="3"/>
      <c r="DT21" s="37" t="str">
        <f t="shared" si="32"/>
        <v/>
      </c>
      <c r="DU21" s="3"/>
      <c r="DV21" s="3"/>
      <c r="DW21" s="4"/>
      <c r="DX21" s="157"/>
      <c r="DY21" s="6"/>
      <c r="DZ21" s="6"/>
      <c r="EA21" s="33" t="str">
        <f t="shared" si="33"/>
        <v/>
      </c>
      <c r="EB21" s="42"/>
      <c r="EC21" s="3"/>
      <c r="ED21" s="37" t="str">
        <f t="shared" si="34"/>
        <v/>
      </c>
      <c r="EE21" s="3"/>
      <c r="EF21" s="3"/>
      <c r="EG21" s="4"/>
      <c r="EH21" s="4"/>
      <c r="EI21" s="6"/>
      <c r="EJ21" s="6"/>
      <c r="EK21" s="33" t="str">
        <f t="shared" si="35"/>
        <v/>
      </c>
      <c r="EL21" s="42"/>
      <c r="EM21" s="3"/>
      <c r="EN21" s="37" t="str">
        <f t="shared" si="36"/>
        <v/>
      </c>
      <c r="EO21" s="3"/>
      <c r="EP21" s="3"/>
      <c r="EQ21" s="4"/>
      <c r="ER21" s="4"/>
      <c r="ES21" s="6"/>
      <c r="ET21" s="6"/>
      <c r="EU21" s="33" t="str">
        <f t="shared" si="37"/>
        <v/>
      </c>
      <c r="EV21" s="42"/>
      <c r="EW21" s="3"/>
      <c r="EX21" s="37" t="str">
        <f t="shared" si="38"/>
        <v/>
      </c>
      <c r="EY21" s="3"/>
      <c r="EZ21" s="3"/>
      <c r="FA21" s="4"/>
      <c r="FB21" s="4"/>
      <c r="FC21" s="6"/>
      <c r="FD21" s="6"/>
      <c r="FE21" s="33" t="str">
        <f t="shared" si="39"/>
        <v/>
      </c>
      <c r="FF21" s="42"/>
      <c r="FG21" s="3"/>
      <c r="FH21" s="37" t="str">
        <f t="shared" si="40"/>
        <v/>
      </c>
      <c r="FI21" s="3"/>
      <c r="FJ21" s="3"/>
      <c r="FM21" s="54">
        <f t="shared" si="46"/>
        <v>3.407</v>
      </c>
      <c r="FN21" s="54">
        <f t="shared" si="46"/>
        <v>13</v>
      </c>
      <c r="FO21" s="471">
        <f t="shared" si="41"/>
        <v>107.4</v>
      </c>
      <c r="FP21" s="471">
        <f t="shared" si="41"/>
        <v>96.039999999999992</v>
      </c>
    </row>
    <row r="22" spans="2:172" ht="252.95">
      <c r="B22" s="27" t="s">
        <v>1245</v>
      </c>
      <c r="C22" s="409" t="s">
        <v>223</v>
      </c>
      <c r="D22" s="27" t="s">
        <v>224</v>
      </c>
      <c r="E22" s="4">
        <v>6</v>
      </c>
      <c r="F22" s="123" t="str">
        <f t="shared" si="1"/>
        <v>×
[P・Q]
×・×</v>
      </c>
      <c r="G22" s="123" t="str">
        <f t="shared" si="2"/>
        <v>×
[P・Q]
--・--</v>
      </c>
      <c r="H22" s="123" t="str">
        <f t="shared" si="3"/>
        <v>○
[P・Q]
○・○</v>
      </c>
      <c r="I22" s="123" t="str">
        <f t="shared" si="4"/>
        <v>×
[P・Q]
○・×</v>
      </c>
      <c r="J22" s="123" t="str">
        <f t="shared" si="5"/>
        <v>×
[P・Q]
×・×</v>
      </c>
      <c r="K22" s="123" t="str">
        <f t="shared" si="6"/>
        <v>×
[P・Q]
--・--</v>
      </c>
      <c r="L22" s="123" t="str">
        <f t="shared" si="7"/>
        <v/>
      </c>
      <c r="M22" s="123" t="str">
        <f t="shared" si="8"/>
        <v/>
      </c>
      <c r="N22" s="123" t="str">
        <f t="shared" si="9"/>
        <v/>
      </c>
      <c r="O22" s="123" t="str">
        <f t="shared" si="10"/>
        <v/>
      </c>
      <c r="P22" s="123" t="str">
        <f t="shared" si="11"/>
        <v/>
      </c>
      <c r="Q22" s="123" t="str">
        <f t="shared" si="12"/>
        <v/>
      </c>
      <c r="R22" s="76">
        <f t="shared" si="13"/>
        <v>0.66666666666666663</v>
      </c>
      <c r="S22" s="4">
        <v>4</v>
      </c>
      <c r="T22" s="4">
        <v>5</v>
      </c>
      <c r="U22" s="4">
        <v>5</v>
      </c>
      <c r="V22" s="4">
        <v>4</v>
      </c>
      <c r="W22" s="77">
        <f t="shared" si="14"/>
        <v>12.5</v>
      </c>
      <c r="X22" s="77">
        <f t="shared" si="15"/>
        <v>6.25</v>
      </c>
      <c r="Y22" s="77" cm="1">
        <f t="array" ref="Y22">_xlfn.IFS(R22&gt;=0.8,5,R22&gt;=0.6,3,R22&gt;=0.2,1,R22&lt;0.2,0)</f>
        <v>3</v>
      </c>
      <c r="Z22" s="140">
        <f>SUM(S22:Y22)</f>
        <v>39.75</v>
      </c>
      <c r="AA22" s="130" t="s">
        <v>1246</v>
      </c>
      <c r="AB22" s="130" t="s">
        <v>1247</v>
      </c>
      <c r="AC22" s="80" t="s">
        <v>226</v>
      </c>
      <c r="AD22" s="5" t="s">
        <v>1248</v>
      </c>
      <c r="AE22" s="5"/>
      <c r="AF22" s="5" t="s">
        <v>1249</v>
      </c>
      <c r="AG22" s="5"/>
      <c r="AH22" s="201">
        <f t="shared" si="16"/>
        <v>0.66047758284600389</v>
      </c>
      <c r="AI22" s="202">
        <f t="shared" si="17"/>
        <v>49.628422064093179</v>
      </c>
      <c r="AJ22" s="80" t="str">
        <f>IFERROR(IF(AH22&gt;=0.6,"HIGH","LOW"),"")</f>
        <v>HIGH</v>
      </c>
      <c r="AK22" s="80" t="str">
        <f t="shared" si="19"/>
        <v>LOW</v>
      </c>
      <c r="AL22" s="133" t="s">
        <v>1250</v>
      </c>
      <c r="AM22" s="237" t="s">
        <v>1251</v>
      </c>
      <c r="AN22" s="128" t="str">
        <f>IF(AND(Z22&gt;Summary!$C$5, Z22&lt;=Summary!$D$5),Summary!$B$5,IF(AND(Z22&gt;Summary!$C$6, Z22&lt;=Summary!$D$6),Summary!$B$6,IF(AND(Z22&gt;Summary!$C$7, Z22&lt;=Summary!$D$7),Summary!$B$7,Summary!$B$8)))</f>
        <v>△</v>
      </c>
      <c r="AO22" s="151" t="s">
        <v>168</v>
      </c>
      <c r="AP22" s="151"/>
      <c r="AQ22" s="14"/>
      <c r="AR22" s="14"/>
      <c r="AS22" s="14" t="s">
        <v>168</v>
      </c>
      <c r="AT22" s="29" t="s">
        <v>1252</v>
      </c>
      <c r="AU22" s="80" t="s">
        <v>1253</v>
      </c>
      <c r="AV22" s="157" t="s">
        <v>168</v>
      </c>
      <c r="AW22" s="6">
        <v>11</v>
      </c>
      <c r="AX22" s="6">
        <v>19</v>
      </c>
      <c r="AY22" s="33">
        <f>IF(AX22="","",AW22/AX22)</f>
        <v>0.57894736842105265</v>
      </c>
      <c r="AZ22" s="42">
        <v>0.129</v>
      </c>
      <c r="BA22" s="3">
        <v>5</v>
      </c>
      <c r="BB22" s="37">
        <f t="shared" si="47"/>
        <v>38.759689922480618</v>
      </c>
      <c r="BC22" s="3">
        <v>5</v>
      </c>
      <c r="BD22" s="3">
        <v>5</v>
      </c>
      <c r="BE22" s="100" t="s">
        <v>1254</v>
      </c>
      <c r="BF22" s="160" t="s">
        <v>178</v>
      </c>
      <c r="BG22" s="89">
        <v>66.7</v>
      </c>
      <c r="BH22" s="89"/>
      <c r="BI22" s="90" t="str">
        <f t="shared" si="22"/>
        <v/>
      </c>
      <c r="BJ22" s="91"/>
      <c r="BK22" s="92"/>
      <c r="BL22" s="93" t="str">
        <f t="shared" si="23"/>
        <v/>
      </c>
      <c r="BM22" s="92"/>
      <c r="BN22" s="92"/>
      <c r="BO22" s="80" t="s">
        <v>1255</v>
      </c>
      <c r="BP22" s="157" t="s">
        <v>168</v>
      </c>
      <c r="BQ22" s="6">
        <v>23.3</v>
      </c>
      <c r="BR22" s="6">
        <v>27</v>
      </c>
      <c r="BS22" s="33">
        <f t="shared" si="24"/>
        <v>0.86296296296296304</v>
      </c>
      <c r="BT22" s="42">
        <v>1.5229999999999999</v>
      </c>
      <c r="BU22" s="3">
        <v>5</v>
      </c>
      <c r="BV22" s="37">
        <f>IF(BU22="","",BU22/BT22)</f>
        <v>3.2829940906106372</v>
      </c>
      <c r="BW22" s="3">
        <v>5</v>
      </c>
      <c r="BX22" s="3">
        <v>5</v>
      </c>
      <c r="BY22" s="80" t="s">
        <v>1256</v>
      </c>
      <c r="BZ22" s="157" t="s">
        <v>168</v>
      </c>
      <c r="CA22" s="6">
        <v>11</v>
      </c>
      <c r="CB22" s="6">
        <v>17.5</v>
      </c>
      <c r="CC22" s="33">
        <f t="shared" si="43"/>
        <v>0.62857142857142856</v>
      </c>
      <c r="CD22" s="42">
        <v>0.10100000000000001</v>
      </c>
      <c r="CE22" s="3">
        <v>14</v>
      </c>
      <c r="CF22" s="37">
        <f t="shared" si="44"/>
        <v>138.61386138613861</v>
      </c>
      <c r="CG22" s="3">
        <v>14</v>
      </c>
      <c r="CH22" s="3">
        <v>14</v>
      </c>
      <c r="CI22" s="80" t="s">
        <v>1257</v>
      </c>
      <c r="CJ22" s="157" t="s">
        <v>168</v>
      </c>
      <c r="CK22" s="6">
        <v>14</v>
      </c>
      <c r="CL22" s="6">
        <v>24.5</v>
      </c>
      <c r="CM22" s="33">
        <f t="shared" si="26"/>
        <v>0.5714285714285714</v>
      </c>
      <c r="CN22" s="42">
        <v>0.224</v>
      </c>
      <c r="CO22" s="3">
        <v>4</v>
      </c>
      <c r="CP22" s="37">
        <f t="shared" si="27"/>
        <v>17.857142857142858</v>
      </c>
      <c r="CQ22" s="3">
        <v>4</v>
      </c>
      <c r="CR22" s="3">
        <v>4</v>
      </c>
      <c r="CS22" s="80" t="s">
        <v>1258</v>
      </c>
      <c r="CT22" s="157" t="s">
        <v>178</v>
      </c>
      <c r="CU22" s="6">
        <v>10.4</v>
      </c>
      <c r="CV22" s="6"/>
      <c r="CW22" s="33" t="str">
        <f t="shared" si="45"/>
        <v/>
      </c>
      <c r="CX22" s="42"/>
      <c r="CY22" s="3"/>
      <c r="CZ22" s="37" t="str">
        <f t="shared" si="28"/>
        <v/>
      </c>
      <c r="DA22" s="3"/>
      <c r="DB22" s="3"/>
      <c r="DC22" s="80"/>
      <c r="DD22" s="157"/>
      <c r="DE22" s="6"/>
      <c r="DF22" s="6"/>
      <c r="DG22" s="33" t="str">
        <f t="shared" si="29"/>
        <v/>
      </c>
      <c r="DH22" s="42"/>
      <c r="DI22" s="3"/>
      <c r="DJ22" s="37" t="str">
        <f t="shared" si="30"/>
        <v/>
      </c>
      <c r="DK22" s="3"/>
      <c r="DL22" s="3"/>
      <c r="DM22" s="4"/>
      <c r="DN22" s="157"/>
      <c r="DO22" s="6"/>
      <c r="DP22" s="6"/>
      <c r="DQ22" s="33" t="str">
        <f t="shared" si="31"/>
        <v/>
      </c>
      <c r="DR22" s="42"/>
      <c r="DS22" s="3"/>
      <c r="DT22" s="37" t="str">
        <f t="shared" si="32"/>
        <v/>
      </c>
      <c r="DU22" s="3"/>
      <c r="DV22" s="3"/>
      <c r="DW22" s="4"/>
      <c r="DX22" s="157"/>
      <c r="DY22" s="6"/>
      <c r="DZ22" s="6"/>
      <c r="EA22" s="33" t="str">
        <f t="shared" si="33"/>
        <v/>
      </c>
      <c r="EB22" s="42"/>
      <c r="EC22" s="3"/>
      <c r="ED22" s="37" t="str">
        <f t="shared" si="34"/>
        <v/>
      </c>
      <c r="EE22" s="3"/>
      <c r="EF22" s="3"/>
      <c r="EG22" s="4"/>
      <c r="EH22" s="4"/>
      <c r="EI22" s="6"/>
      <c r="EJ22" s="6"/>
      <c r="EK22" s="33" t="str">
        <f t="shared" si="35"/>
        <v/>
      </c>
      <c r="EL22" s="42"/>
      <c r="EM22" s="3"/>
      <c r="EN22" s="37" t="str">
        <f t="shared" si="36"/>
        <v/>
      </c>
      <c r="EO22" s="3"/>
      <c r="EP22" s="3"/>
      <c r="EQ22" s="4"/>
      <c r="ER22" s="4"/>
      <c r="ES22" s="6"/>
      <c r="ET22" s="6"/>
      <c r="EU22" s="33" t="str">
        <f t="shared" si="37"/>
        <v/>
      </c>
      <c r="EV22" s="42"/>
      <c r="EW22" s="3"/>
      <c r="EX22" s="37" t="str">
        <f t="shared" si="38"/>
        <v/>
      </c>
      <c r="EY22" s="3"/>
      <c r="EZ22" s="3"/>
      <c r="FA22" s="4"/>
      <c r="FB22" s="4"/>
      <c r="FC22" s="6"/>
      <c r="FD22" s="6"/>
      <c r="FE22" s="33" t="str">
        <f t="shared" si="39"/>
        <v/>
      </c>
      <c r="FF22" s="42"/>
      <c r="FG22" s="3"/>
      <c r="FH22" s="37" t="str">
        <f t="shared" si="40"/>
        <v/>
      </c>
      <c r="FI22" s="3"/>
      <c r="FJ22" s="3"/>
      <c r="FM22" s="54">
        <f t="shared" si="46"/>
        <v>1.9769999999999999</v>
      </c>
      <c r="FN22" s="54">
        <f t="shared" si="46"/>
        <v>28</v>
      </c>
      <c r="FO22" s="471">
        <f t="shared" si="41"/>
        <v>136.4</v>
      </c>
      <c r="FP22" s="471">
        <f t="shared" si="41"/>
        <v>88</v>
      </c>
    </row>
    <row r="23" spans="2:172" ht="351.95">
      <c r="B23" s="3" t="s">
        <v>1259</v>
      </c>
      <c r="C23" s="71" t="s">
        <v>300</v>
      </c>
      <c r="D23" s="87" t="s">
        <v>313</v>
      </c>
      <c r="E23" s="247">
        <v>5</v>
      </c>
      <c r="F23" s="123" t="str">
        <f t="shared" si="1"/>
        <v>×
[P・Q]
○・--</v>
      </c>
      <c r="G23" s="123" t="str">
        <f t="shared" si="2"/>
        <v>×
[P・Q]
--・--</v>
      </c>
      <c r="H23" s="123" t="str">
        <f t="shared" si="3"/>
        <v>×
[P・Q]
--・--</v>
      </c>
      <c r="I23" s="123" t="str">
        <f t="shared" si="4"/>
        <v>×
[P・Q]
○・--</v>
      </c>
      <c r="J23" s="123" t="str">
        <f t="shared" si="5"/>
        <v>×
[P・Q]
○・--</v>
      </c>
      <c r="K23" s="123" t="str">
        <f t="shared" si="6"/>
        <v/>
      </c>
      <c r="L23" s="123" t="str">
        <f t="shared" si="7"/>
        <v/>
      </c>
      <c r="M23" s="123" t="str">
        <f t="shared" si="8"/>
        <v/>
      </c>
      <c r="N23" s="123" t="str">
        <f t="shared" si="9"/>
        <v/>
      </c>
      <c r="O23" s="123" t="str">
        <f t="shared" si="10"/>
        <v/>
      </c>
      <c r="P23" s="123" t="str">
        <f t="shared" si="11"/>
        <v/>
      </c>
      <c r="Q23" s="123" t="str">
        <f t="shared" si="12"/>
        <v/>
      </c>
      <c r="R23" s="76">
        <f t="shared" si="13"/>
        <v>0.6</v>
      </c>
      <c r="S23" s="4">
        <v>4</v>
      </c>
      <c r="T23" s="4">
        <v>5</v>
      </c>
      <c r="U23" s="4">
        <v>4</v>
      </c>
      <c r="V23" s="4">
        <v>5</v>
      </c>
      <c r="W23" s="77">
        <f t="shared" si="14"/>
        <v>22.5</v>
      </c>
      <c r="X23" s="77">
        <f t="shared" si="15"/>
        <v>0</v>
      </c>
      <c r="Y23" s="77" cm="1">
        <f t="array" ref="Y23">_xlfn.IFS(R23&gt;=0.8,5,R23&gt;=0.6,3,R23&gt;=0.2,1,R23&lt;0.2,0)</f>
        <v>3</v>
      </c>
      <c r="Z23" s="140">
        <f t="shared" si="21"/>
        <v>43.5</v>
      </c>
      <c r="AA23" s="200" t="s">
        <v>1260</v>
      </c>
      <c r="AB23" s="5" t="s">
        <v>1261</v>
      </c>
      <c r="AC23" s="80" t="s">
        <v>251</v>
      </c>
      <c r="AD23" s="5" t="s">
        <v>1262</v>
      </c>
      <c r="AE23" s="80" t="s">
        <v>251</v>
      </c>
      <c r="AF23" s="5" t="s">
        <v>1263</v>
      </c>
      <c r="AG23" s="5"/>
      <c r="AH23" s="201">
        <f t="shared" si="16"/>
        <v>0.80259259259259252</v>
      </c>
      <c r="AI23" s="202" t="str">
        <f>IFERROR(AVERAGE(BB23,BL23,BV23,CF23,CP23,CZ23,DJ23,DT23,ED23,EN23,EX23)," ")</f>
        <v xml:space="preserve"> </v>
      </c>
      <c r="AJ23" s="80" t="str">
        <f t="shared" si="18"/>
        <v>HIGH</v>
      </c>
      <c r="AK23" s="80" t="str">
        <f t="shared" si="19"/>
        <v>LOW</v>
      </c>
      <c r="AL23" s="133" t="s">
        <v>1264</v>
      </c>
      <c r="AM23" s="237" t="s">
        <v>1265</v>
      </c>
      <c r="AN23" s="128" t="str">
        <f>IF(AND(Z23&gt;Summary!$C$5, Z23&lt;=Summary!$D$5),Summary!$B$5,IF(AND(Z23&gt;Summary!$C$6, Z23&lt;=Summary!$D$6),Summary!$B$6,IF(AND(Z23&gt;Summary!$C$7, Z23&lt;=Summary!$D$7),Summary!$B$7,Summary!$B$8)))</f>
        <v>△</v>
      </c>
      <c r="AO23" s="14" t="s">
        <v>168</v>
      </c>
      <c r="AP23" s="14"/>
      <c r="AQ23" s="14"/>
      <c r="AR23" s="14"/>
      <c r="AS23" s="14" t="s">
        <v>168</v>
      </c>
      <c r="AT23" s="29" t="s">
        <v>1266</v>
      </c>
      <c r="AU23" s="80" t="s">
        <v>1267</v>
      </c>
      <c r="AV23" s="157" t="s">
        <v>168</v>
      </c>
      <c r="AW23" s="6">
        <v>10.9</v>
      </c>
      <c r="AX23" s="6">
        <v>17.5</v>
      </c>
      <c r="AY23" s="33">
        <f t="shared" si="42"/>
        <v>0.62285714285714289</v>
      </c>
      <c r="AZ23" s="42">
        <v>0.4</v>
      </c>
      <c r="BA23" s="3"/>
      <c r="BB23" s="37" t="str">
        <f t="shared" si="47"/>
        <v/>
      </c>
      <c r="BC23" s="3"/>
      <c r="BD23" s="3"/>
      <c r="BE23" s="80" t="s">
        <v>1268</v>
      </c>
      <c r="BF23" s="157" t="s">
        <v>178</v>
      </c>
      <c r="BG23" s="6">
        <v>66.8</v>
      </c>
      <c r="BH23" s="6"/>
      <c r="BI23" s="33" t="str">
        <f t="shared" si="22"/>
        <v/>
      </c>
      <c r="BJ23" s="42"/>
      <c r="BK23" s="3"/>
      <c r="BL23" s="37" t="str">
        <f t="shared" si="23"/>
        <v/>
      </c>
      <c r="BM23" s="3"/>
      <c r="BN23" s="3"/>
      <c r="BO23" s="80" t="s">
        <v>1269</v>
      </c>
      <c r="BP23" s="157" t="s">
        <v>178</v>
      </c>
      <c r="BQ23" s="6">
        <v>14.1</v>
      </c>
      <c r="BR23" s="6"/>
      <c r="BS23" s="33" t="str">
        <f t="shared" si="24"/>
        <v/>
      </c>
      <c r="BT23" s="42"/>
      <c r="BU23" s="3"/>
      <c r="BV23" s="37" t="str">
        <f t="shared" si="25"/>
        <v/>
      </c>
      <c r="BW23" s="3"/>
      <c r="BX23" s="3"/>
      <c r="BY23" s="80" t="s">
        <v>1269</v>
      </c>
      <c r="BZ23" s="157" t="s">
        <v>168</v>
      </c>
      <c r="CA23" s="6">
        <v>14.1</v>
      </c>
      <c r="CB23" s="6">
        <v>14</v>
      </c>
      <c r="CC23" s="33">
        <f>IF(CB23="","",CA23/CB23)</f>
        <v>1.0071428571428571</v>
      </c>
      <c r="CD23" s="42">
        <v>0.1</v>
      </c>
      <c r="CE23" s="3"/>
      <c r="CF23" s="37" t="str">
        <f t="shared" si="44"/>
        <v/>
      </c>
      <c r="CG23" s="3"/>
      <c r="CH23" s="3"/>
      <c r="CI23" s="80" t="s">
        <v>1270</v>
      </c>
      <c r="CJ23" s="157" t="s">
        <v>168</v>
      </c>
      <c r="CK23" s="6">
        <v>10.5</v>
      </c>
      <c r="CL23" s="6">
        <v>13.5</v>
      </c>
      <c r="CM23" s="33">
        <f>IF(CL23="","",CK23/CL23)</f>
        <v>0.77777777777777779</v>
      </c>
      <c r="CN23" s="42">
        <v>0.1</v>
      </c>
      <c r="CO23" s="3"/>
      <c r="CP23" s="37" t="str">
        <f t="shared" si="27"/>
        <v/>
      </c>
      <c r="CQ23" s="3"/>
      <c r="CR23" s="3"/>
      <c r="CS23" s="4"/>
      <c r="CT23" s="157"/>
      <c r="CU23" s="6"/>
      <c r="CV23" s="6"/>
      <c r="CW23" s="33" t="str">
        <f t="shared" si="45"/>
        <v/>
      </c>
      <c r="CX23" s="42"/>
      <c r="CY23" s="3"/>
      <c r="CZ23" s="37" t="str">
        <f t="shared" si="28"/>
        <v/>
      </c>
      <c r="DA23" s="3"/>
      <c r="DB23" s="3"/>
      <c r="DC23" s="4"/>
      <c r="DD23" s="157"/>
      <c r="DE23" s="6"/>
      <c r="DF23" s="6"/>
      <c r="DG23" s="33" t="str">
        <f t="shared" si="29"/>
        <v/>
      </c>
      <c r="DH23" s="42"/>
      <c r="DI23" s="3"/>
      <c r="DJ23" s="37" t="str">
        <f t="shared" si="30"/>
        <v/>
      </c>
      <c r="DK23" s="3"/>
      <c r="DL23" s="3"/>
      <c r="DM23" s="4"/>
      <c r="DN23" s="157"/>
      <c r="DO23" s="6"/>
      <c r="DP23" s="6"/>
      <c r="DQ23" s="33" t="str">
        <f t="shared" si="31"/>
        <v/>
      </c>
      <c r="DR23" s="42"/>
      <c r="DS23" s="3"/>
      <c r="DT23" s="37" t="str">
        <f t="shared" si="32"/>
        <v/>
      </c>
      <c r="DU23" s="3"/>
      <c r="DV23" s="3"/>
      <c r="DW23" s="4"/>
      <c r="DX23" s="157"/>
      <c r="DY23" s="6"/>
      <c r="DZ23" s="6"/>
      <c r="EA23" s="33" t="str">
        <f t="shared" si="33"/>
        <v/>
      </c>
      <c r="EB23" s="42"/>
      <c r="EC23" s="3"/>
      <c r="ED23" s="37" t="str">
        <f t="shared" si="34"/>
        <v/>
      </c>
      <c r="EE23" s="3"/>
      <c r="EF23" s="3"/>
      <c r="EG23" s="4"/>
      <c r="EH23" s="4"/>
      <c r="EI23" s="6"/>
      <c r="EJ23" s="6"/>
      <c r="EK23" s="33" t="str">
        <f t="shared" si="35"/>
        <v/>
      </c>
      <c r="EL23" s="42"/>
      <c r="EM23" s="3"/>
      <c r="EN23" s="37" t="str">
        <f t="shared" si="36"/>
        <v/>
      </c>
      <c r="EO23" s="3"/>
      <c r="EP23" s="3"/>
      <c r="EQ23" s="4"/>
      <c r="ER23" s="4"/>
      <c r="ES23" s="6"/>
      <c r="ET23" s="6"/>
      <c r="EU23" s="33" t="str">
        <f t="shared" si="37"/>
        <v/>
      </c>
      <c r="EV23" s="42"/>
      <c r="EW23" s="3"/>
      <c r="EX23" s="37" t="str">
        <f t="shared" si="38"/>
        <v/>
      </c>
      <c r="EY23" s="3"/>
      <c r="EZ23" s="3"/>
      <c r="FA23" s="4"/>
      <c r="FB23" s="4"/>
      <c r="FC23" s="6"/>
      <c r="FD23" s="6"/>
      <c r="FE23" s="33" t="str">
        <f t="shared" si="39"/>
        <v/>
      </c>
      <c r="FF23" s="42"/>
      <c r="FG23" s="3"/>
      <c r="FH23" s="37" t="str">
        <f t="shared" si="40"/>
        <v/>
      </c>
      <c r="FI23" s="3"/>
      <c r="FJ23" s="3"/>
      <c r="FM23" s="54">
        <f t="shared" si="46"/>
        <v>0.60000000000000009</v>
      </c>
      <c r="FN23" s="54">
        <f t="shared" si="46"/>
        <v>0</v>
      </c>
      <c r="FO23" s="471">
        <f t="shared" si="41"/>
        <v>116.4</v>
      </c>
      <c r="FP23" s="471">
        <f t="shared" si="41"/>
        <v>45</v>
      </c>
    </row>
    <row r="24" spans="2:172" ht="148.5" hidden="1" customHeight="1">
      <c r="B24" s="224" t="s">
        <v>1271</v>
      </c>
      <c r="C24" s="27" t="s">
        <v>223</v>
      </c>
      <c r="D24" s="27" t="s">
        <v>224</v>
      </c>
      <c r="E24" s="4">
        <v>7</v>
      </c>
      <c r="F24" s="246" t="str">
        <f t="shared" si="1"/>
        <v>×
[P・Q]
○・×</v>
      </c>
      <c r="G24" s="123" t="str">
        <f t="shared" si="2"/>
        <v>×
[P・Q]
○・--</v>
      </c>
      <c r="H24" s="123" t="str">
        <f t="shared" si="3"/>
        <v>×
[P・Q]
○・--</v>
      </c>
      <c r="I24" s="123" t="str">
        <f t="shared" si="4"/>
        <v>×
[P・Q]
--・--</v>
      </c>
      <c r="J24" s="123" t="str">
        <f t="shared" si="5"/>
        <v>×
[P・Q]
○・×</v>
      </c>
      <c r="K24" s="123" t="str">
        <f t="shared" si="6"/>
        <v>×
[P・Q]
○・○</v>
      </c>
      <c r="L24" s="123" t="str">
        <f t="shared" si="7"/>
        <v>×
[P・Q]
○・×</v>
      </c>
      <c r="M24" s="123" t="str">
        <f t="shared" si="8"/>
        <v/>
      </c>
      <c r="N24" s="123" t="str">
        <f t="shared" si="9"/>
        <v/>
      </c>
      <c r="O24" s="123" t="str">
        <f t="shared" si="10"/>
        <v/>
      </c>
      <c r="P24" s="123" t="str">
        <f t="shared" si="11"/>
        <v/>
      </c>
      <c r="Q24" s="123" t="str">
        <f t="shared" si="12"/>
        <v/>
      </c>
      <c r="R24" s="76">
        <f t="shared" si="13"/>
        <v>0.8571428571428571</v>
      </c>
      <c r="S24" s="4">
        <v>5</v>
      </c>
      <c r="T24" s="4">
        <v>5</v>
      </c>
      <c r="U24" s="4">
        <v>5</v>
      </c>
      <c r="V24" s="4">
        <v>3</v>
      </c>
      <c r="W24" s="77">
        <f t="shared" si="14"/>
        <v>32.142857142857139</v>
      </c>
      <c r="X24" s="77">
        <f t="shared" si="15"/>
        <v>0</v>
      </c>
      <c r="Y24" s="77" cm="1">
        <f t="array" ref="Y24">_xlfn.IFS(R24&gt;=0.8,5,R24&gt;=0.6,3,R24&gt;=0.2,1,R24&lt;0.2,0)</f>
        <v>5</v>
      </c>
      <c r="Z24" s="140">
        <f t="shared" si="21"/>
        <v>55.142857142857139</v>
      </c>
      <c r="AA24" s="5" t="s">
        <v>1272</v>
      </c>
      <c r="AB24" s="5" t="s">
        <v>1230</v>
      </c>
      <c r="AC24" s="102" t="s">
        <v>226</v>
      </c>
      <c r="AD24" s="332" t="s">
        <v>1273</v>
      </c>
      <c r="AE24" s="333" t="s">
        <v>251</v>
      </c>
      <c r="AF24" s="221" t="s">
        <v>1274</v>
      </c>
      <c r="AG24" s="242"/>
      <c r="AH24" s="334">
        <f t="shared" si="16"/>
        <v>1.1164186507936507</v>
      </c>
      <c r="AI24" s="335">
        <f t="shared" si="17"/>
        <v>25.891222061082125</v>
      </c>
      <c r="AJ24" s="333" t="str">
        <f t="shared" si="18"/>
        <v>HIGH</v>
      </c>
      <c r="AK24" s="333" t="str">
        <f t="shared" si="19"/>
        <v>LOW</v>
      </c>
      <c r="AL24" s="336" t="s">
        <v>1275</v>
      </c>
      <c r="AM24" s="337" t="s">
        <v>1276</v>
      </c>
      <c r="AN24" s="128" t="str">
        <f>IF(AND(Z24&gt;Summary!$C$5, Z24&lt;=Summary!$D$5),Summary!$B$5,IF(AND(Z24&gt;Summary!$C$6, Z24&lt;=Summary!$D$6),Summary!$B$6,IF(AND(Z24&gt;Summary!$C$7, Z24&lt;=Summary!$D$7),Summary!$B$7,Summary!$B$8)))</f>
        <v>○</v>
      </c>
      <c r="AO24" s="14" t="s">
        <v>168</v>
      </c>
      <c r="AP24" s="14"/>
      <c r="AQ24" s="14"/>
      <c r="AR24" s="14" t="s">
        <v>168</v>
      </c>
      <c r="AS24" s="14"/>
      <c r="AT24" s="29" t="s">
        <v>231</v>
      </c>
      <c r="AU24" s="80" t="s">
        <v>1277</v>
      </c>
      <c r="AV24" s="157" t="s">
        <v>168</v>
      </c>
      <c r="AW24" s="6">
        <v>11.1</v>
      </c>
      <c r="AX24" s="6">
        <v>10.5</v>
      </c>
      <c r="AY24" s="33">
        <f t="shared" si="42"/>
        <v>1.0571428571428572</v>
      </c>
      <c r="AZ24" s="42">
        <v>0.16400000000000001</v>
      </c>
      <c r="BA24" s="3">
        <v>4</v>
      </c>
      <c r="BB24" s="37">
        <f t="shared" si="47"/>
        <v>24.390243902439025</v>
      </c>
      <c r="BC24" s="3">
        <v>4</v>
      </c>
      <c r="BD24" s="3">
        <v>4</v>
      </c>
      <c r="BE24" s="80" t="s">
        <v>1278</v>
      </c>
      <c r="BF24" s="157" t="s">
        <v>168</v>
      </c>
      <c r="BG24" s="6">
        <v>15.9</v>
      </c>
      <c r="BH24" s="6">
        <v>16</v>
      </c>
      <c r="BI24" s="33">
        <f t="shared" si="22"/>
        <v>0.99375000000000002</v>
      </c>
      <c r="BJ24" s="42">
        <v>9.7000000000000003E-2</v>
      </c>
      <c r="BK24" s="3"/>
      <c r="BL24" s="37" t="str">
        <f t="shared" si="23"/>
        <v/>
      </c>
      <c r="BM24" s="3"/>
      <c r="BN24" s="3"/>
      <c r="BO24" s="80" t="s">
        <v>1279</v>
      </c>
      <c r="BP24" s="157" t="s">
        <v>168</v>
      </c>
      <c r="BQ24" s="6">
        <v>14</v>
      </c>
      <c r="BR24" s="6">
        <v>14</v>
      </c>
      <c r="BS24" s="33">
        <f t="shared" si="24"/>
        <v>1</v>
      </c>
      <c r="BT24" s="42">
        <v>0.16200000000000001</v>
      </c>
      <c r="BU24" s="3"/>
      <c r="BV24" s="37" t="str">
        <f>IF(BU24="","",BU24/BT24)</f>
        <v/>
      </c>
      <c r="BW24" s="3"/>
      <c r="BX24" s="3"/>
      <c r="BY24" s="80" t="s">
        <v>1280</v>
      </c>
      <c r="BZ24" s="157" t="s">
        <v>178</v>
      </c>
      <c r="CA24" s="6">
        <v>23</v>
      </c>
      <c r="CB24" s="6"/>
      <c r="CC24" s="33" t="str">
        <f>IF(CB24="","",CA24/CB24)</f>
        <v/>
      </c>
      <c r="CD24" s="42"/>
      <c r="CE24" s="3"/>
      <c r="CF24" s="37" t="str">
        <f t="shared" si="44"/>
        <v/>
      </c>
      <c r="CG24" s="3"/>
      <c r="CH24" s="3"/>
      <c r="CI24" s="80" t="s">
        <v>1281</v>
      </c>
      <c r="CJ24" s="157" t="s">
        <v>168</v>
      </c>
      <c r="CK24" s="6">
        <v>16</v>
      </c>
      <c r="CL24" s="6">
        <v>15</v>
      </c>
      <c r="CM24" s="33">
        <f t="shared" si="26"/>
        <v>1.0666666666666667</v>
      </c>
      <c r="CN24" s="42">
        <v>0.157</v>
      </c>
      <c r="CO24" s="3">
        <v>6</v>
      </c>
      <c r="CP24" s="37">
        <f t="shared" si="27"/>
        <v>38.216560509554142</v>
      </c>
      <c r="CQ24" s="3">
        <v>6</v>
      </c>
      <c r="CR24" s="3">
        <v>6</v>
      </c>
      <c r="CS24" s="80" t="s">
        <v>1282</v>
      </c>
      <c r="CT24" s="157" t="s">
        <v>168</v>
      </c>
      <c r="CU24" s="6">
        <v>16</v>
      </c>
      <c r="CV24" s="6">
        <v>10.5</v>
      </c>
      <c r="CW24" s="33">
        <f t="shared" si="45"/>
        <v>1.5238095238095237</v>
      </c>
      <c r="CX24" s="42">
        <v>0.1</v>
      </c>
      <c r="CY24" s="3">
        <v>2</v>
      </c>
      <c r="CZ24" s="37">
        <f>IF(CY24="","",CY24/CX24)</f>
        <v>20</v>
      </c>
      <c r="DA24" s="3">
        <v>2</v>
      </c>
      <c r="DB24" s="3">
        <v>2</v>
      </c>
      <c r="DC24" s="80" t="s">
        <v>1283</v>
      </c>
      <c r="DD24" s="157" t="s">
        <v>168</v>
      </c>
      <c r="DE24" s="6">
        <v>11.1</v>
      </c>
      <c r="DF24" s="6">
        <v>10.5</v>
      </c>
      <c r="DG24" s="33">
        <f t="shared" si="29"/>
        <v>1.0571428571428572</v>
      </c>
      <c r="DH24" s="42">
        <v>0.33400000000000002</v>
      </c>
      <c r="DI24" s="3">
        <v>7</v>
      </c>
      <c r="DJ24" s="37">
        <f t="shared" si="30"/>
        <v>20.95808383233533</v>
      </c>
      <c r="DK24" s="3">
        <v>7</v>
      </c>
      <c r="DL24" s="3">
        <v>7</v>
      </c>
      <c r="DM24" s="4"/>
      <c r="DN24" s="157"/>
      <c r="DO24" s="6"/>
      <c r="DP24" s="6"/>
      <c r="DQ24" s="33" t="str">
        <f t="shared" si="31"/>
        <v/>
      </c>
      <c r="DR24" s="42"/>
      <c r="DS24" s="3"/>
      <c r="DT24" s="37" t="str">
        <f t="shared" si="32"/>
        <v/>
      </c>
      <c r="DU24" s="3"/>
      <c r="DV24" s="3"/>
      <c r="DW24" s="4"/>
      <c r="DX24" s="157"/>
      <c r="DY24" s="6"/>
      <c r="DZ24" s="6"/>
      <c r="EA24" s="33" t="str">
        <f t="shared" si="33"/>
        <v/>
      </c>
      <c r="EB24" s="42"/>
      <c r="EC24" s="3"/>
      <c r="ED24" s="37" t="str">
        <f t="shared" si="34"/>
        <v/>
      </c>
      <c r="EE24" s="3"/>
      <c r="EF24" s="3"/>
      <c r="EG24" s="4"/>
      <c r="EH24" s="4"/>
      <c r="EI24" s="6"/>
      <c r="EJ24" s="6"/>
      <c r="EK24" s="33" t="str">
        <f t="shared" si="35"/>
        <v/>
      </c>
      <c r="EL24" s="42"/>
      <c r="EM24" s="3"/>
      <c r="EN24" s="37" t="str">
        <f t="shared" si="36"/>
        <v/>
      </c>
      <c r="EO24" s="3"/>
      <c r="EP24" s="3"/>
      <c r="EQ24" s="4"/>
      <c r="ER24" s="4"/>
      <c r="ES24" s="6"/>
      <c r="ET24" s="6"/>
      <c r="EU24" s="33" t="str">
        <f t="shared" si="37"/>
        <v/>
      </c>
      <c r="EV24" s="42"/>
      <c r="EW24" s="3"/>
      <c r="EX24" s="37" t="str">
        <f t="shared" si="38"/>
        <v/>
      </c>
      <c r="EY24" s="3"/>
      <c r="EZ24" s="3"/>
      <c r="FA24" s="4"/>
      <c r="FB24" s="4"/>
      <c r="FC24" s="6"/>
      <c r="FD24" s="6"/>
      <c r="FE24" s="33" t="str">
        <f t="shared" si="39"/>
        <v/>
      </c>
      <c r="FF24" s="42"/>
      <c r="FG24" s="3"/>
      <c r="FH24" s="37" t="str">
        <f t="shared" si="40"/>
        <v/>
      </c>
      <c r="FI24" s="3"/>
      <c r="FJ24" s="3"/>
      <c r="FM24" s="54">
        <f t="shared" si="46"/>
        <v>1.014</v>
      </c>
      <c r="FN24" s="54">
        <f t="shared" si="46"/>
        <v>19</v>
      </c>
      <c r="FO24" s="471">
        <f t="shared" si="41"/>
        <v>107.1</v>
      </c>
      <c r="FP24" s="471">
        <f t="shared" si="41"/>
        <v>76.5</v>
      </c>
    </row>
    <row r="25" spans="2:172" ht="242.1">
      <c r="B25" s="94" t="s">
        <v>1284</v>
      </c>
      <c r="C25" s="94" t="s">
        <v>223</v>
      </c>
      <c r="D25" s="94" t="s">
        <v>224</v>
      </c>
      <c r="E25" s="311">
        <v>5</v>
      </c>
      <c r="F25" s="312" t="str">
        <f t="shared" si="1"/>
        <v>×
[P・Q]
○・×</v>
      </c>
      <c r="G25" s="312" t="str">
        <f t="shared" si="2"/>
        <v>×
[P・Q]
○・×</v>
      </c>
      <c r="H25" s="312" t="str">
        <f t="shared" si="3"/>
        <v>○
[P・Q]
○・○</v>
      </c>
      <c r="I25" s="312" t="str">
        <f t="shared" si="4"/>
        <v>×
[P・Q]
○・--</v>
      </c>
      <c r="J25" s="312" t="str">
        <f t="shared" si="5"/>
        <v>×
[P・Q]
--・--</v>
      </c>
      <c r="K25" s="312" t="str">
        <f t="shared" si="6"/>
        <v/>
      </c>
      <c r="L25" s="312" t="str">
        <f t="shared" si="7"/>
        <v/>
      </c>
      <c r="M25" s="123" t="str">
        <f t="shared" si="8"/>
        <v/>
      </c>
      <c r="N25" s="123" t="str">
        <f t="shared" si="9"/>
        <v/>
      </c>
      <c r="O25" s="123" t="str">
        <f t="shared" si="10"/>
        <v/>
      </c>
      <c r="P25" s="123" t="str">
        <f t="shared" si="11"/>
        <v/>
      </c>
      <c r="Q25" s="123" t="str">
        <f t="shared" si="12"/>
        <v/>
      </c>
      <c r="R25" s="76">
        <f t="shared" si="13"/>
        <v>0.8</v>
      </c>
      <c r="S25" s="4">
        <v>3</v>
      </c>
      <c r="T25" s="4">
        <v>1</v>
      </c>
      <c r="U25" s="4">
        <v>3</v>
      </c>
      <c r="V25" s="4">
        <v>3</v>
      </c>
      <c r="W25" s="77">
        <f t="shared" si="14"/>
        <v>30</v>
      </c>
      <c r="X25" s="77">
        <f t="shared" si="15"/>
        <v>7.5</v>
      </c>
      <c r="Y25" s="77" cm="1">
        <f t="array" ref="Y25">_xlfn.IFS(R25&gt;=0.8,5,R25&gt;=0.6,3,R25&gt;=0.2,1,R25&lt;0.2,0)</f>
        <v>5</v>
      </c>
      <c r="Z25" s="140">
        <f>SUM(S25:Y25)</f>
        <v>52.5</v>
      </c>
      <c r="AA25" s="130" t="s">
        <v>1285</v>
      </c>
      <c r="AB25" s="163" t="s">
        <v>1286</v>
      </c>
      <c r="AC25" s="80" t="s">
        <v>251</v>
      </c>
      <c r="AD25" s="5" t="s">
        <v>1287</v>
      </c>
      <c r="AE25" s="5"/>
      <c r="AF25" s="5" t="s">
        <v>1288</v>
      </c>
      <c r="AG25" s="5"/>
      <c r="AH25" s="201">
        <f t="shared" si="16"/>
        <v>1.0625776397515527</v>
      </c>
      <c r="AI25" s="202">
        <f t="shared" si="17"/>
        <v>15.201731896399366</v>
      </c>
      <c r="AJ25" s="80" t="str">
        <f t="shared" si="18"/>
        <v>HIGH</v>
      </c>
      <c r="AK25" s="80" t="str">
        <f t="shared" si="19"/>
        <v>LOW</v>
      </c>
      <c r="AL25" s="133" t="s">
        <v>1289</v>
      </c>
      <c r="AM25" s="237" t="s">
        <v>1290</v>
      </c>
      <c r="AN25" s="128" t="str">
        <f>IF(AND(Z25&gt;Summary!$C$5, Z25&lt;=Summary!$D$5),Summary!$B$5,IF(AND(Z25&gt;Summary!$C$6, Z25&lt;=Summary!$D$6),Summary!$B$6,IF(AND(Z25&gt;Summary!$C$7, Z25&lt;=Summary!$D$7),Summary!$B$7,Summary!$B$8)))</f>
        <v>○</v>
      </c>
      <c r="AO25" s="14" t="s">
        <v>174</v>
      </c>
      <c r="AP25" s="14"/>
      <c r="AQ25" s="14"/>
      <c r="AR25" s="14"/>
      <c r="AS25" s="14" t="s">
        <v>168</v>
      </c>
      <c r="AT25" s="29" t="s">
        <v>1291</v>
      </c>
      <c r="AU25" s="80" t="s">
        <v>1292</v>
      </c>
      <c r="AV25" s="157" t="s">
        <v>168</v>
      </c>
      <c r="AW25" s="6">
        <v>11.2</v>
      </c>
      <c r="AX25" s="6">
        <v>10.5</v>
      </c>
      <c r="AY25" s="33">
        <f t="shared" si="42"/>
        <v>1.0666666666666667</v>
      </c>
      <c r="AZ25" s="42">
        <v>0.74299999999999999</v>
      </c>
      <c r="BA25" s="3">
        <v>8</v>
      </c>
      <c r="BB25" s="37">
        <f t="shared" si="47"/>
        <v>10.767160161507402</v>
      </c>
      <c r="BC25" s="3">
        <v>8</v>
      </c>
      <c r="BD25" s="3">
        <v>8</v>
      </c>
      <c r="BE25" s="80" t="s">
        <v>1293</v>
      </c>
      <c r="BF25" s="157" t="s">
        <v>168</v>
      </c>
      <c r="BG25" s="6">
        <v>16</v>
      </c>
      <c r="BH25" s="6">
        <v>15</v>
      </c>
      <c r="BI25" s="33">
        <f>IF(BH25="","",BG25/BH25)</f>
        <v>1.0666666666666667</v>
      </c>
      <c r="BJ25" s="42">
        <v>0.27500000000000002</v>
      </c>
      <c r="BK25" s="3">
        <v>8</v>
      </c>
      <c r="BL25" s="37">
        <f t="shared" si="23"/>
        <v>29.09090909090909</v>
      </c>
      <c r="BM25" s="3">
        <v>8</v>
      </c>
      <c r="BN25" s="3">
        <v>8</v>
      </c>
      <c r="BO25" s="80" t="s">
        <v>1294</v>
      </c>
      <c r="BP25" s="157" t="s">
        <v>168</v>
      </c>
      <c r="BQ25" s="6">
        <v>23</v>
      </c>
      <c r="BR25" s="6">
        <v>21</v>
      </c>
      <c r="BS25" s="33">
        <f t="shared" si="24"/>
        <v>1.0952380952380953</v>
      </c>
      <c r="BT25" s="42">
        <v>0.34799999999999998</v>
      </c>
      <c r="BU25" s="3">
        <v>2</v>
      </c>
      <c r="BV25" s="37">
        <f t="shared" si="25"/>
        <v>5.7471264367816097</v>
      </c>
      <c r="BW25" s="3">
        <v>2</v>
      </c>
      <c r="BX25" s="3">
        <v>2</v>
      </c>
      <c r="BY25" s="80" t="s">
        <v>1295</v>
      </c>
      <c r="BZ25" s="157" t="s">
        <v>168</v>
      </c>
      <c r="CA25" s="6">
        <v>23.5</v>
      </c>
      <c r="CB25" s="6">
        <v>23</v>
      </c>
      <c r="CC25" s="33">
        <f t="shared" si="43"/>
        <v>1.0217391304347827</v>
      </c>
      <c r="CD25" s="42">
        <v>1.2649999999999999</v>
      </c>
      <c r="CE25" s="3"/>
      <c r="CF25" s="37" t="str">
        <f t="shared" si="44"/>
        <v/>
      </c>
      <c r="CG25" s="3"/>
      <c r="CH25" s="3"/>
      <c r="CI25" s="80" t="s">
        <v>1296</v>
      </c>
      <c r="CJ25" s="157" t="s">
        <v>178</v>
      </c>
      <c r="CK25" s="6">
        <v>23.4</v>
      </c>
      <c r="CL25" s="6"/>
      <c r="CM25" s="33" t="str">
        <f t="shared" si="26"/>
        <v/>
      </c>
      <c r="CN25" s="42"/>
      <c r="CO25" s="3"/>
      <c r="CP25" s="37" t="str">
        <f t="shared" si="27"/>
        <v/>
      </c>
      <c r="CQ25" s="3"/>
      <c r="CR25" s="3"/>
      <c r="CS25" s="4"/>
      <c r="CT25" s="157"/>
      <c r="CU25" s="6"/>
      <c r="CV25" s="6"/>
      <c r="CW25" s="33" t="str">
        <f t="shared" si="45"/>
        <v/>
      </c>
      <c r="CX25" s="42"/>
      <c r="CY25" s="3"/>
      <c r="CZ25" s="37" t="str">
        <f t="shared" si="28"/>
        <v/>
      </c>
      <c r="DA25" s="3"/>
      <c r="DB25" s="3"/>
      <c r="DC25" s="4"/>
      <c r="DD25" s="157"/>
      <c r="DE25" s="6"/>
      <c r="DF25" s="6"/>
      <c r="DG25" s="33" t="str">
        <f t="shared" si="29"/>
        <v/>
      </c>
      <c r="DH25" s="42"/>
      <c r="DI25" s="3"/>
      <c r="DJ25" s="37" t="str">
        <f t="shared" si="30"/>
        <v/>
      </c>
      <c r="DK25" s="3"/>
      <c r="DL25" s="3"/>
      <c r="DM25" s="4"/>
      <c r="DN25" s="157"/>
      <c r="DO25" s="6"/>
      <c r="DP25" s="6"/>
      <c r="DQ25" s="33" t="str">
        <f t="shared" si="31"/>
        <v/>
      </c>
      <c r="DR25" s="42"/>
      <c r="DS25" s="3"/>
      <c r="DT25" s="37" t="str">
        <f t="shared" si="32"/>
        <v/>
      </c>
      <c r="DU25" s="3"/>
      <c r="DV25" s="3"/>
      <c r="DW25" s="4"/>
      <c r="DX25" s="157"/>
      <c r="DY25" s="6"/>
      <c r="DZ25" s="6"/>
      <c r="EA25" s="33" t="str">
        <f t="shared" si="33"/>
        <v/>
      </c>
      <c r="EB25" s="42"/>
      <c r="EC25" s="3"/>
      <c r="ED25" s="37" t="str">
        <f t="shared" si="34"/>
        <v/>
      </c>
      <c r="EE25" s="3"/>
      <c r="EF25" s="3"/>
      <c r="EG25" s="4"/>
      <c r="EH25" s="4"/>
      <c r="EI25" s="6"/>
      <c r="EJ25" s="6"/>
      <c r="EK25" s="33" t="str">
        <f t="shared" si="35"/>
        <v/>
      </c>
      <c r="EL25" s="42"/>
      <c r="EM25" s="3"/>
      <c r="EN25" s="37" t="str">
        <f t="shared" si="36"/>
        <v/>
      </c>
      <c r="EO25" s="3"/>
      <c r="EP25" s="3"/>
      <c r="EQ25" s="4"/>
      <c r="ER25" s="4"/>
      <c r="ES25" s="6"/>
      <c r="ET25" s="6"/>
      <c r="EU25" s="33" t="str">
        <f t="shared" si="37"/>
        <v/>
      </c>
      <c r="EV25" s="42"/>
      <c r="EW25" s="3"/>
      <c r="EX25" s="37" t="str">
        <f t="shared" si="38"/>
        <v/>
      </c>
      <c r="EY25" s="3"/>
      <c r="EZ25" s="3"/>
      <c r="FA25" s="4"/>
      <c r="FB25" s="4"/>
      <c r="FC25" s="6"/>
      <c r="FD25" s="6"/>
      <c r="FE25" s="33" t="str">
        <f t="shared" si="39"/>
        <v/>
      </c>
      <c r="FF25" s="42"/>
      <c r="FG25" s="3"/>
      <c r="FH25" s="37" t="str">
        <f t="shared" si="40"/>
        <v/>
      </c>
      <c r="FI25" s="3"/>
      <c r="FJ25" s="3"/>
      <c r="FM25" s="54">
        <f t="shared" si="46"/>
        <v>2.6309999999999998</v>
      </c>
      <c r="FN25" s="54">
        <f t="shared" si="46"/>
        <v>18</v>
      </c>
      <c r="FO25" s="471">
        <f t="shared" si="41"/>
        <v>97.100000000000009</v>
      </c>
      <c r="FP25" s="471">
        <f t="shared" si="41"/>
        <v>69.5</v>
      </c>
    </row>
    <row r="26" spans="2:172" ht="351" customHeight="1">
      <c r="B26" s="3" t="s">
        <v>1297</v>
      </c>
      <c r="C26" s="3" t="s">
        <v>287</v>
      </c>
      <c r="D26" s="3" t="s">
        <v>224</v>
      </c>
      <c r="E26" s="4">
        <v>4</v>
      </c>
      <c r="F26" s="123" t="str">
        <f t="shared" si="1"/>
        <v>×
[P・Q]
○・--</v>
      </c>
      <c r="G26" s="123" t="str">
        <f t="shared" si="2"/>
        <v>×
[P・Q]
×・○</v>
      </c>
      <c r="H26" s="123" t="str">
        <f t="shared" si="3"/>
        <v>×
[P・Q]
○・--</v>
      </c>
      <c r="I26" s="123" t="str">
        <f t="shared" si="4"/>
        <v>×
[P・Q]
○・--</v>
      </c>
      <c r="J26" s="123" t="str">
        <f t="shared" si="5"/>
        <v/>
      </c>
      <c r="K26" s="123" t="str">
        <f t="shared" si="6"/>
        <v/>
      </c>
      <c r="L26" s="123" t="str">
        <f t="shared" si="7"/>
        <v/>
      </c>
      <c r="M26" s="123" t="str">
        <f t="shared" si="8"/>
        <v/>
      </c>
      <c r="N26" s="123" t="str">
        <f t="shared" si="9"/>
        <v/>
      </c>
      <c r="O26" s="123" t="str">
        <f t="shared" si="10"/>
        <v/>
      </c>
      <c r="P26" s="123" t="str">
        <f t="shared" si="11"/>
        <v/>
      </c>
      <c r="Q26" s="123" t="str">
        <f t="shared" si="12"/>
        <v/>
      </c>
      <c r="R26" s="76">
        <f t="shared" si="13"/>
        <v>0.5</v>
      </c>
      <c r="S26" s="4">
        <v>4</v>
      </c>
      <c r="T26" s="4">
        <v>3</v>
      </c>
      <c r="U26" s="4">
        <v>5</v>
      </c>
      <c r="V26" s="4">
        <v>3</v>
      </c>
      <c r="W26" s="77">
        <f t="shared" si="14"/>
        <v>28.125</v>
      </c>
      <c r="X26" s="77">
        <f t="shared" si="15"/>
        <v>9.375</v>
      </c>
      <c r="Y26" s="75" cm="1">
        <f t="array" ref="Y26">_xlfn.IFS(R26&gt;=0.8,5,R26&gt;=0.6,3,R26&gt;=0.2,1,R26&lt;0.2,0)</f>
        <v>1</v>
      </c>
      <c r="Z26" s="140">
        <f t="shared" si="21"/>
        <v>53.5</v>
      </c>
      <c r="AA26" s="5" t="s">
        <v>1298</v>
      </c>
      <c r="AB26" s="5" t="s">
        <v>1299</v>
      </c>
      <c r="AC26" s="80" t="s">
        <v>226</v>
      </c>
      <c r="AD26" s="5" t="s">
        <v>1300</v>
      </c>
      <c r="AE26" s="80" t="s">
        <v>251</v>
      </c>
      <c r="AF26" s="5" t="s">
        <v>1301</v>
      </c>
      <c r="AG26" s="5"/>
      <c r="AH26" s="201">
        <f t="shared" si="16"/>
        <v>0.714010444036971</v>
      </c>
      <c r="AI26" s="202">
        <f t="shared" si="17"/>
        <v>2.2421524663677133</v>
      </c>
      <c r="AJ26" s="80" t="str">
        <f t="shared" si="18"/>
        <v>HIGH</v>
      </c>
      <c r="AK26" s="80" t="str">
        <f t="shared" si="19"/>
        <v>HIGH</v>
      </c>
      <c r="AL26" s="341" t="s">
        <v>1302</v>
      </c>
      <c r="AM26" s="237" t="s">
        <v>1303</v>
      </c>
      <c r="AN26" s="128" t="str">
        <f>IF(AND(Z26&gt;Summary!$C$5, Z26&lt;=Summary!$D$5),Summary!$B$5,IF(AND(Z26&gt;Summary!$C$6, Z26&lt;=Summary!$D$6),Summary!$B$6,IF(AND(Z26&gt;Summary!$C$7, Z26&lt;=Summary!$D$7),Summary!$B$7,Summary!$B$8)))</f>
        <v>○</v>
      </c>
      <c r="AO26" s="14" t="s">
        <v>174</v>
      </c>
      <c r="AP26" s="14"/>
      <c r="AQ26" s="14"/>
      <c r="AR26" s="14"/>
      <c r="AS26" s="14" t="s">
        <v>168</v>
      </c>
      <c r="AT26" s="29" t="s">
        <v>1291</v>
      </c>
      <c r="AU26" s="80" t="s">
        <v>1304</v>
      </c>
      <c r="AV26" s="157" t="s">
        <v>168</v>
      </c>
      <c r="AW26" s="6">
        <v>11</v>
      </c>
      <c r="AX26" s="6">
        <v>10.5</v>
      </c>
      <c r="AY26" s="33">
        <f t="shared" si="42"/>
        <v>1.0476190476190477</v>
      </c>
      <c r="AZ26" s="42">
        <v>0.27500000000000002</v>
      </c>
      <c r="BA26" s="3"/>
      <c r="BB26" s="37" t="str">
        <f t="shared" si="47"/>
        <v/>
      </c>
      <c r="BC26" s="3"/>
      <c r="BD26" s="3"/>
      <c r="BE26" s="80" t="s">
        <v>1305</v>
      </c>
      <c r="BF26" s="157" t="s">
        <v>168</v>
      </c>
      <c r="BG26" s="6">
        <v>23.3</v>
      </c>
      <c r="BH26" s="6">
        <v>54</v>
      </c>
      <c r="BI26" s="33">
        <f t="shared" si="22"/>
        <v>0.43148148148148152</v>
      </c>
      <c r="BJ26" s="42">
        <v>3.1219999999999999</v>
      </c>
      <c r="BK26" s="3">
        <v>7</v>
      </c>
      <c r="BL26" s="37">
        <f t="shared" si="23"/>
        <v>2.2421524663677133</v>
      </c>
      <c r="BM26" s="3">
        <v>7</v>
      </c>
      <c r="BN26" s="3">
        <v>7</v>
      </c>
      <c r="BO26" s="80" t="s">
        <v>1306</v>
      </c>
      <c r="BP26" s="157" t="s">
        <v>178</v>
      </c>
      <c r="BQ26" s="6">
        <v>56.8</v>
      </c>
      <c r="BR26" s="6">
        <v>74.5</v>
      </c>
      <c r="BS26" s="33">
        <f t="shared" si="24"/>
        <v>0.76241610738255028</v>
      </c>
      <c r="BT26" s="42"/>
      <c r="BU26" s="3"/>
      <c r="BV26" s="37" t="str">
        <f t="shared" si="25"/>
        <v/>
      </c>
      <c r="BW26" s="3"/>
      <c r="BX26" s="3"/>
      <c r="BY26" s="80" t="s">
        <v>1307</v>
      </c>
      <c r="BZ26" s="157" t="s">
        <v>178</v>
      </c>
      <c r="CA26" s="6">
        <v>11</v>
      </c>
      <c r="CB26" s="6">
        <v>17.899999999999999</v>
      </c>
      <c r="CC26" s="33">
        <f t="shared" si="43"/>
        <v>0.61452513966480449</v>
      </c>
      <c r="CD26" s="42"/>
      <c r="CE26" s="3"/>
      <c r="CF26" s="37" t="str">
        <f t="shared" si="44"/>
        <v/>
      </c>
      <c r="CG26" s="3"/>
      <c r="CH26" s="3"/>
      <c r="CI26" s="4"/>
      <c r="CJ26" s="157"/>
      <c r="CK26" s="6"/>
      <c r="CL26" s="6"/>
      <c r="CM26" s="33" t="str">
        <f t="shared" si="26"/>
        <v/>
      </c>
      <c r="CN26" s="42"/>
      <c r="CO26" s="3"/>
      <c r="CP26" s="37" t="str">
        <f t="shared" si="27"/>
        <v/>
      </c>
      <c r="CQ26" s="3"/>
      <c r="CR26" s="3"/>
      <c r="CS26" s="4"/>
      <c r="CT26" s="157"/>
      <c r="CU26" s="6"/>
      <c r="CV26" s="6"/>
      <c r="CW26" s="33" t="str">
        <f t="shared" si="45"/>
        <v/>
      </c>
      <c r="CX26" s="42"/>
      <c r="CY26" s="3"/>
      <c r="CZ26" s="37" t="str">
        <f t="shared" si="28"/>
        <v/>
      </c>
      <c r="DA26" s="3"/>
      <c r="DB26" s="3"/>
      <c r="DC26" s="4"/>
      <c r="DD26" s="157"/>
      <c r="DE26" s="6"/>
      <c r="DF26" s="6"/>
      <c r="DG26" s="33" t="str">
        <f t="shared" si="29"/>
        <v/>
      </c>
      <c r="DH26" s="42"/>
      <c r="DI26" s="3"/>
      <c r="DJ26" s="37" t="str">
        <f t="shared" si="30"/>
        <v/>
      </c>
      <c r="DK26" s="3"/>
      <c r="DL26" s="3"/>
      <c r="DM26" s="4"/>
      <c r="DN26" s="157"/>
      <c r="DO26" s="6"/>
      <c r="DP26" s="6"/>
      <c r="DQ26" s="33" t="str">
        <f t="shared" si="31"/>
        <v/>
      </c>
      <c r="DR26" s="42"/>
      <c r="DS26" s="3"/>
      <c r="DT26" s="37" t="str">
        <f t="shared" si="32"/>
        <v/>
      </c>
      <c r="DU26" s="3"/>
      <c r="DV26" s="3"/>
      <c r="DW26" s="4"/>
      <c r="DX26" s="157"/>
      <c r="DY26" s="6"/>
      <c r="DZ26" s="6"/>
      <c r="EA26" s="33" t="str">
        <f t="shared" si="33"/>
        <v/>
      </c>
      <c r="EB26" s="42"/>
      <c r="EC26" s="3"/>
      <c r="ED26" s="37" t="str">
        <f t="shared" si="34"/>
        <v/>
      </c>
      <c r="EE26" s="3"/>
      <c r="EF26" s="3"/>
      <c r="EG26" s="4"/>
      <c r="EH26" s="4"/>
      <c r="EI26" s="6"/>
      <c r="EJ26" s="6"/>
      <c r="EK26" s="33" t="str">
        <f t="shared" si="35"/>
        <v/>
      </c>
      <c r="EL26" s="42"/>
      <c r="EM26" s="3"/>
      <c r="EN26" s="37" t="str">
        <f t="shared" si="36"/>
        <v/>
      </c>
      <c r="EO26" s="3"/>
      <c r="EP26" s="3"/>
      <c r="EQ26" s="4"/>
      <c r="ER26" s="4"/>
      <c r="ES26" s="6"/>
      <c r="ET26" s="6"/>
      <c r="EU26" s="33" t="str">
        <f t="shared" si="37"/>
        <v/>
      </c>
      <c r="EV26" s="42"/>
      <c r="EW26" s="3"/>
      <c r="EX26" s="37" t="str">
        <f t="shared" si="38"/>
        <v/>
      </c>
      <c r="EY26" s="3"/>
      <c r="EZ26" s="3"/>
      <c r="FA26" s="4"/>
      <c r="FB26" s="4"/>
      <c r="FC26" s="6"/>
      <c r="FD26" s="6"/>
      <c r="FE26" s="33" t="str">
        <f t="shared" si="39"/>
        <v/>
      </c>
      <c r="FF26" s="42"/>
      <c r="FG26" s="3"/>
      <c r="FH26" s="37" t="str">
        <f t="shared" si="40"/>
        <v/>
      </c>
      <c r="FI26" s="3"/>
      <c r="FJ26" s="3"/>
      <c r="FM26" s="54">
        <f t="shared" si="46"/>
        <v>3.3969999999999998</v>
      </c>
      <c r="FN26" s="54">
        <f t="shared" si="46"/>
        <v>7</v>
      </c>
      <c r="FO26" s="471">
        <f t="shared" si="41"/>
        <v>102.1</v>
      </c>
      <c r="FP26" s="471">
        <f t="shared" si="41"/>
        <v>156.9</v>
      </c>
    </row>
    <row r="27" spans="2:172" ht="42" hidden="1" customHeight="1">
      <c r="B27" s="3"/>
      <c r="C27" s="3"/>
      <c r="D27" s="3"/>
      <c r="E27" s="4"/>
      <c r="F27" s="123" t="str">
        <f t="shared" si="1"/>
        <v/>
      </c>
      <c r="G27" s="123" t="str">
        <f t="shared" si="2"/>
        <v/>
      </c>
      <c r="H27" s="123" t="str">
        <f t="shared" si="3"/>
        <v/>
      </c>
      <c r="I27" s="123" t="str">
        <f t="shared" si="4"/>
        <v/>
      </c>
      <c r="J27" s="123" t="str">
        <f t="shared" si="5"/>
        <v/>
      </c>
      <c r="K27" s="123" t="str">
        <f t="shared" si="6"/>
        <v/>
      </c>
      <c r="L27" s="123" t="str">
        <f t="shared" si="7"/>
        <v/>
      </c>
      <c r="M27" s="123" t="str">
        <f t="shared" si="8"/>
        <v/>
      </c>
      <c r="N27" s="123" t="str">
        <f t="shared" si="9"/>
        <v/>
      </c>
      <c r="O27" s="123" t="str">
        <f t="shared" si="10"/>
        <v/>
      </c>
      <c r="P27" s="123" t="str">
        <f t="shared" si="11"/>
        <v/>
      </c>
      <c r="Q27" s="123" t="str">
        <f t="shared" si="12"/>
        <v/>
      </c>
      <c r="R27" s="76" t="e">
        <f t="shared" si="13"/>
        <v>#DIV/0!</v>
      </c>
      <c r="S27" s="4"/>
      <c r="T27" s="4"/>
      <c r="U27" s="4"/>
      <c r="V27" s="4"/>
      <c r="W27" s="77" t="e">
        <f t="shared" si="14"/>
        <v>#DIV/0!</v>
      </c>
      <c r="X27" s="77" t="e">
        <f t="shared" si="15"/>
        <v>#DIV/0!</v>
      </c>
      <c r="Y27" s="77" t="e" cm="1">
        <f t="array" ref="Y27">_xlfn.IFS(R27&gt;=0.8,5,R27&gt;=0.6,3,R27&gt;=0.2,1,R27&lt;0.2,0)</f>
        <v>#DIV/0!</v>
      </c>
      <c r="Z27" s="55" t="e">
        <f t="shared" ref="Z27:Z31" si="48">SUM(S27:Y27)</f>
        <v>#DIV/0!</v>
      </c>
      <c r="AA27" s="130"/>
      <c r="AB27" s="130"/>
      <c r="AC27" s="130"/>
      <c r="AD27" s="130"/>
      <c r="AE27" s="130"/>
      <c r="AF27" s="130"/>
      <c r="AG27" s="130"/>
      <c r="AH27" s="130"/>
      <c r="AI27" s="130"/>
      <c r="AJ27" s="130"/>
      <c r="AK27" s="130"/>
      <c r="AL27" s="130"/>
      <c r="AM27" s="130"/>
      <c r="AN27" s="126" t="e">
        <f>IF(AND(Z27&gt;Summary!$C$5, Z27&lt;=Summary!$D$5),Summary!$B$5,IF(AND(Z27&gt;Summary!$C$6, Z27&lt;=Summary!$D$6),Summary!$B$6,IF(AND(Z27&gt;Summary!$C$7, Z27&lt;=Summary!$D$7),Summary!$B$7,Summary!$B$8)))</f>
        <v>#DIV/0!</v>
      </c>
      <c r="AO27" s="14"/>
      <c r="AP27" s="14"/>
      <c r="AQ27" s="14"/>
      <c r="AR27" s="14"/>
      <c r="AS27" s="14"/>
      <c r="AT27" s="29"/>
      <c r="AU27" s="4"/>
      <c r="AV27" s="157"/>
      <c r="AW27" s="6"/>
      <c r="AX27" s="6"/>
      <c r="AY27" s="33" t="str">
        <f t="shared" si="42"/>
        <v/>
      </c>
      <c r="AZ27" s="42"/>
      <c r="BA27" s="3"/>
      <c r="BB27" s="37" t="str">
        <f t="shared" si="47"/>
        <v/>
      </c>
      <c r="BC27" s="3"/>
      <c r="BD27" s="3"/>
      <c r="BE27" s="4"/>
      <c r="BF27" s="157"/>
      <c r="BG27" s="6"/>
      <c r="BH27" s="6"/>
      <c r="BI27" s="33" t="str">
        <f t="shared" si="22"/>
        <v/>
      </c>
      <c r="BJ27" s="42"/>
      <c r="BK27" s="3"/>
      <c r="BL27" s="37" t="str">
        <f t="shared" si="23"/>
        <v/>
      </c>
      <c r="BM27" s="3"/>
      <c r="BN27" s="3"/>
      <c r="BO27" s="4"/>
      <c r="BP27" s="157"/>
      <c r="BQ27" s="6"/>
      <c r="BR27" s="6"/>
      <c r="BS27" s="33" t="str">
        <f t="shared" si="24"/>
        <v/>
      </c>
      <c r="BT27" s="42"/>
      <c r="BU27" s="3"/>
      <c r="BV27" s="37" t="str">
        <f t="shared" si="25"/>
        <v/>
      </c>
      <c r="BW27" s="3"/>
      <c r="BX27" s="3"/>
      <c r="BY27" s="4"/>
      <c r="BZ27" s="157"/>
      <c r="CA27" s="6"/>
      <c r="CB27" s="6"/>
      <c r="CC27" s="33" t="str">
        <f t="shared" si="43"/>
        <v/>
      </c>
      <c r="CD27" s="42"/>
      <c r="CE27" s="3"/>
      <c r="CF27" s="37" t="str">
        <f t="shared" si="44"/>
        <v/>
      </c>
      <c r="CG27" s="3"/>
      <c r="CH27" s="3"/>
      <c r="CI27" s="4"/>
      <c r="CJ27" s="157"/>
      <c r="CK27" s="6"/>
      <c r="CL27" s="6"/>
      <c r="CM27" s="33" t="str">
        <f t="shared" si="26"/>
        <v/>
      </c>
      <c r="CN27" s="42"/>
      <c r="CO27" s="3"/>
      <c r="CP27" s="37" t="str">
        <f t="shared" si="27"/>
        <v/>
      </c>
      <c r="CQ27" s="3"/>
      <c r="CR27" s="3"/>
      <c r="CS27" s="4"/>
      <c r="CT27" s="157"/>
      <c r="CU27" s="6"/>
      <c r="CV27" s="6"/>
      <c r="CW27" s="33" t="str">
        <f t="shared" si="45"/>
        <v/>
      </c>
      <c r="CX27" s="42"/>
      <c r="CY27" s="3"/>
      <c r="CZ27" s="37" t="str">
        <f t="shared" si="28"/>
        <v/>
      </c>
      <c r="DA27" s="3"/>
      <c r="DB27" s="3"/>
      <c r="DC27" s="4"/>
      <c r="DD27" s="157"/>
      <c r="DE27" s="6"/>
      <c r="DF27" s="6"/>
      <c r="DG27" s="33" t="str">
        <f t="shared" si="29"/>
        <v/>
      </c>
      <c r="DH27" s="42"/>
      <c r="DI27" s="3"/>
      <c r="DJ27" s="37" t="str">
        <f t="shared" si="30"/>
        <v/>
      </c>
      <c r="DK27" s="3"/>
      <c r="DL27" s="3"/>
      <c r="DM27" s="4"/>
      <c r="DN27" s="157"/>
      <c r="DO27" s="6"/>
      <c r="DP27" s="6"/>
      <c r="DQ27" s="33" t="str">
        <f t="shared" si="31"/>
        <v/>
      </c>
      <c r="DR27" s="42"/>
      <c r="DS27" s="3"/>
      <c r="DT27" s="37" t="str">
        <f t="shared" si="32"/>
        <v/>
      </c>
      <c r="DU27" s="3"/>
      <c r="DV27" s="3"/>
      <c r="DW27" s="4"/>
      <c r="DX27" s="157"/>
      <c r="DY27" s="6"/>
      <c r="DZ27" s="6"/>
      <c r="EA27" s="33" t="str">
        <f t="shared" si="33"/>
        <v/>
      </c>
      <c r="EB27" s="42"/>
      <c r="EC27" s="3"/>
      <c r="ED27" s="37" t="str">
        <f t="shared" si="34"/>
        <v/>
      </c>
      <c r="EE27" s="3"/>
      <c r="EF27" s="3"/>
      <c r="EG27" s="4"/>
      <c r="EH27" s="4"/>
      <c r="EI27" s="6"/>
      <c r="EJ27" s="6"/>
      <c r="EK27" s="33" t="str">
        <f t="shared" si="35"/>
        <v/>
      </c>
      <c r="EL27" s="42"/>
      <c r="EM27" s="3"/>
      <c r="EN27" s="37" t="str">
        <f t="shared" si="36"/>
        <v/>
      </c>
      <c r="EO27" s="3"/>
      <c r="EP27" s="3"/>
      <c r="EQ27" s="4"/>
      <c r="ER27" s="4"/>
      <c r="ES27" s="6"/>
      <c r="ET27" s="6"/>
      <c r="EU27" s="33" t="str">
        <f t="shared" si="37"/>
        <v/>
      </c>
      <c r="EV27" s="42"/>
      <c r="EW27" s="3"/>
      <c r="EX27" s="37" t="str">
        <f t="shared" si="38"/>
        <v/>
      </c>
      <c r="EY27" s="3"/>
      <c r="EZ27" s="3"/>
      <c r="FA27" s="4"/>
      <c r="FB27" s="4"/>
      <c r="FC27" s="6"/>
      <c r="FD27" s="6"/>
      <c r="FE27" s="33" t="str">
        <f t="shared" si="39"/>
        <v/>
      </c>
      <c r="FF27" s="42"/>
      <c r="FG27" s="3"/>
      <c r="FH27" s="37" t="str">
        <f t="shared" si="40"/>
        <v/>
      </c>
      <c r="FI27" s="3"/>
      <c r="FJ27" s="3"/>
      <c r="FM27" s="54">
        <f t="shared" si="46"/>
        <v>0</v>
      </c>
      <c r="FN27" s="54">
        <f t="shared" si="46"/>
        <v>0</v>
      </c>
      <c r="FO27" s="471">
        <f t="shared" si="41"/>
        <v>0</v>
      </c>
      <c r="FP27" s="471">
        <f t="shared" si="41"/>
        <v>0</v>
      </c>
    </row>
    <row r="28" spans="2:172" ht="42" hidden="1" customHeight="1">
      <c r="B28" s="27"/>
      <c r="C28" s="27"/>
      <c r="D28" s="27"/>
      <c r="E28" s="4"/>
      <c r="F28" s="123" t="str">
        <f t="shared" si="1"/>
        <v/>
      </c>
      <c r="G28" s="123" t="str">
        <f t="shared" si="2"/>
        <v/>
      </c>
      <c r="H28" s="123" t="str">
        <f t="shared" si="3"/>
        <v/>
      </c>
      <c r="I28" s="123" t="str">
        <f t="shared" si="4"/>
        <v/>
      </c>
      <c r="J28" s="123" t="str">
        <f t="shared" si="5"/>
        <v/>
      </c>
      <c r="K28" s="123" t="str">
        <f t="shared" si="6"/>
        <v/>
      </c>
      <c r="L28" s="123" t="str">
        <f t="shared" si="7"/>
        <v/>
      </c>
      <c r="M28" s="123" t="str">
        <f t="shared" si="8"/>
        <v/>
      </c>
      <c r="N28" s="123" t="str">
        <f t="shared" si="9"/>
        <v/>
      </c>
      <c r="O28" s="123" t="str">
        <f t="shared" si="10"/>
        <v/>
      </c>
      <c r="P28" s="123" t="str">
        <f t="shared" si="11"/>
        <v/>
      </c>
      <c r="Q28" s="123" t="str">
        <f t="shared" si="12"/>
        <v/>
      </c>
      <c r="R28" s="76" t="e">
        <f t="shared" si="13"/>
        <v>#DIV/0!</v>
      </c>
      <c r="S28" s="4"/>
      <c r="T28" s="4"/>
      <c r="U28" s="4"/>
      <c r="V28" s="4"/>
      <c r="W28" s="77" t="e">
        <f t="shared" si="14"/>
        <v>#DIV/0!</v>
      </c>
      <c r="X28" s="77" t="e">
        <f t="shared" si="15"/>
        <v>#DIV/0!</v>
      </c>
      <c r="Y28" s="77" t="e" cm="1">
        <f t="array" ref="Y28">_xlfn.IFS(R28&gt;=0.8,5,R28&gt;=0.6,3,R28&gt;=0.2,1,R28&lt;0.2,0)</f>
        <v>#DIV/0!</v>
      </c>
      <c r="Z28" s="55" t="e">
        <f t="shared" si="48"/>
        <v>#DIV/0!</v>
      </c>
      <c r="AA28" s="5"/>
      <c r="AB28" s="5"/>
      <c r="AC28" s="5"/>
      <c r="AD28" s="5"/>
      <c r="AE28" s="5"/>
      <c r="AF28" s="5"/>
      <c r="AG28" s="5"/>
      <c r="AH28" s="5"/>
      <c r="AI28" s="5"/>
      <c r="AJ28" s="5"/>
      <c r="AK28" s="5"/>
      <c r="AL28" s="5"/>
      <c r="AM28" s="5"/>
      <c r="AN28" s="126" t="e">
        <f>IF(AND(Z28&gt;Summary!$C$5, Z28&lt;=Summary!$D$5),Summary!$B$5,IF(AND(Z28&gt;Summary!$C$6, Z28&lt;=Summary!$D$6),Summary!$B$6,IF(AND(Z28&gt;Summary!$C$7, Z28&lt;=Summary!$D$7),Summary!$B$7,Summary!$B$8)))</f>
        <v>#DIV/0!</v>
      </c>
      <c r="AO28" s="14"/>
      <c r="AP28" s="14"/>
      <c r="AQ28" s="14"/>
      <c r="AR28" s="14"/>
      <c r="AS28" s="14"/>
      <c r="AT28" s="29"/>
      <c r="AU28" s="4"/>
      <c r="AV28" s="157"/>
      <c r="AW28" s="6"/>
      <c r="AX28" s="6"/>
      <c r="AY28" s="33" t="str">
        <f t="shared" si="42"/>
        <v/>
      </c>
      <c r="AZ28" s="42"/>
      <c r="BA28" s="3"/>
      <c r="BB28" s="37" t="str">
        <f t="shared" si="47"/>
        <v/>
      </c>
      <c r="BC28" s="3"/>
      <c r="BD28" s="3"/>
      <c r="BE28" s="4"/>
      <c r="BF28" s="157"/>
      <c r="BG28" s="6"/>
      <c r="BH28" s="6"/>
      <c r="BI28" s="33" t="str">
        <f t="shared" si="22"/>
        <v/>
      </c>
      <c r="BJ28" s="42"/>
      <c r="BK28" s="3"/>
      <c r="BL28" s="37" t="str">
        <f t="shared" si="23"/>
        <v/>
      </c>
      <c r="BM28" s="3"/>
      <c r="BN28" s="3"/>
      <c r="BO28" s="4"/>
      <c r="BP28" s="157"/>
      <c r="BQ28" s="6"/>
      <c r="BR28" s="6"/>
      <c r="BS28" s="33" t="str">
        <f t="shared" si="24"/>
        <v/>
      </c>
      <c r="BT28" s="42"/>
      <c r="BU28" s="3"/>
      <c r="BV28" s="37" t="str">
        <f t="shared" si="25"/>
        <v/>
      </c>
      <c r="BW28" s="3"/>
      <c r="BX28" s="3"/>
      <c r="BY28" s="4"/>
      <c r="BZ28" s="157"/>
      <c r="CA28" s="6"/>
      <c r="CB28" s="6"/>
      <c r="CC28" s="33" t="str">
        <f t="shared" si="43"/>
        <v/>
      </c>
      <c r="CD28" s="42"/>
      <c r="CE28" s="3"/>
      <c r="CF28" s="37" t="str">
        <f t="shared" si="44"/>
        <v/>
      </c>
      <c r="CG28" s="3"/>
      <c r="CH28" s="3"/>
      <c r="CI28" s="4"/>
      <c r="CJ28" s="157"/>
      <c r="CK28" s="6"/>
      <c r="CL28" s="6"/>
      <c r="CM28" s="33" t="str">
        <f t="shared" si="26"/>
        <v/>
      </c>
      <c r="CN28" s="42"/>
      <c r="CO28" s="3"/>
      <c r="CP28" s="37" t="str">
        <f t="shared" si="27"/>
        <v/>
      </c>
      <c r="CQ28" s="3"/>
      <c r="CR28" s="3"/>
      <c r="CS28" s="4"/>
      <c r="CT28" s="157"/>
      <c r="CU28" s="6"/>
      <c r="CV28" s="6"/>
      <c r="CW28" s="33" t="str">
        <f t="shared" si="45"/>
        <v/>
      </c>
      <c r="CX28" s="42"/>
      <c r="CY28" s="3"/>
      <c r="CZ28" s="37" t="str">
        <f t="shared" si="28"/>
        <v/>
      </c>
      <c r="DA28" s="3"/>
      <c r="DB28" s="3"/>
      <c r="DC28" s="4"/>
      <c r="DD28" s="157"/>
      <c r="DE28" s="6"/>
      <c r="DF28" s="6"/>
      <c r="DG28" s="33" t="str">
        <f t="shared" si="29"/>
        <v/>
      </c>
      <c r="DH28" s="42"/>
      <c r="DI28" s="3"/>
      <c r="DJ28" s="37" t="str">
        <f t="shared" si="30"/>
        <v/>
      </c>
      <c r="DK28" s="3"/>
      <c r="DL28" s="3"/>
      <c r="DM28" s="4"/>
      <c r="DN28" s="157"/>
      <c r="DO28" s="6"/>
      <c r="DP28" s="6"/>
      <c r="DQ28" s="33" t="str">
        <f t="shared" si="31"/>
        <v/>
      </c>
      <c r="DR28" s="42"/>
      <c r="DS28" s="3"/>
      <c r="DT28" s="37" t="str">
        <f t="shared" si="32"/>
        <v/>
      </c>
      <c r="DU28" s="3"/>
      <c r="DV28" s="3"/>
      <c r="DW28" s="4"/>
      <c r="DX28" s="157"/>
      <c r="DY28" s="6"/>
      <c r="DZ28" s="6"/>
      <c r="EA28" s="33" t="str">
        <f t="shared" si="33"/>
        <v/>
      </c>
      <c r="EB28" s="42"/>
      <c r="EC28" s="3"/>
      <c r="ED28" s="37" t="str">
        <f t="shared" si="34"/>
        <v/>
      </c>
      <c r="EE28" s="3"/>
      <c r="EF28" s="3"/>
      <c r="EG28" s="4"/>
      <c r="EH28" s="4"/>
      <c r="EI28" s="6"/>
      <c r="EJ28" s="6"/>
      <c r="EK28" s="33" t="str">
        <f t="shared" si="35"/>
        <v/>
      </c>
      <c r="EL28" s="42"/>
      <c r="EM28" s="3"/>
      <c r="EN28" s="37" t="str">
        <f t="shared" si="36"/>
        <v/>
      </c>
      <c r="EO28" s="3"/>
      <c r="EP28" s="3"/>
      <c r="EQ28" s="4"/>
      <c r="ER28" s="4"/>
      <c r="ES28" s="6"/>
      <c r="ET28" s="6"/>
      <c r="EU28" s="33" t="str">
        <f t="shared" si="37"/>
        <v/>
      </c>
      <c r="EV28" s="42"/>
      <c r="EW28" s="3"/>
      <c r="EX28" s="37" t="str">
        <f t="shared" si="38"/>
        <v/>
      </c>
      <c r="EY28" s="3"/>
      <c r="EZ28" s="3"/>
      <c r="FA28" s="4"/>
      <c r="FB28" s="4"/>
      <c r="FC28" s="6"/>
      <c r="FD28" s="6"/>
      <c r="FE28" s="33" t="str">
        <f t="shared" si="39"/>
        <v/>
      </c>
      <c r="FF28" s="42"/>
      <c r="FG28" s="3"/>
      <c r="FH28" s="37" t="str">
        <f t="shared" si="40"/>
        <v/>
      </c>
      <c r="FI28" s="3"/>
      <c r="FJ28" s="3"/>
      <c r="FM28" s="54">
        <f t="shared" si="46"/>
        <v>0</v>
      </c>
      <c r="FN28" s="54">
        <f t="shared" si="46"/>
        <v>0</v>
      </c>
      <c r="FO28" s="471">
        <f t="shared" si="41"/>
        <v>0</v>
      </c>
      <c r="FP28" s="471">
        <f t="shared" si="41"/>
        <v>0</v>
      </c>
    </row>
    <row r="29" spans="2:172" ht="42" hidden="1" customHeight="1">
      <c r="B29" s="3"/>
      <c r="C29" s="3"/>
      <c r="D29" s="3"/>
      <c r="E29" s="4"/>
      <c r="F29" s="123" t="str">
        <f t="shared" si="1"/>
        <v/>
      </c>
      <c r="G29" s="123" t="str">
        <f t="shared" si="2"/>
        <v/>
      </c>
      <c r="H29" s="123" t="str">
        <f t="shared" si="3"/>
        <v/>
      </c>
      <c r="I29" s="123" t="str">
        <f t="shared" si="4"/>
        <v/>
      </c>
      <c r="J29" s="123" t="str">
        <f t="shared" si="5"/>
        <v/>
      </c>
      <c r="K29" s="123" t="str">
        <f t="shared" si="6"/>
        <v/>
      </c>
      <c r="L29" s="123" t="str">
        <f t="shared" si="7"/>
        <v/>
      </c>
      <c r="M29" s="123" t="str">
        <f t="shared" si="8"/>
        <v/>
      </c>
      <c r="N29" s="123" t="str">
        <f t="shared" si="9"/>
        <v/>
      </c>
      <c r="O29" s="123" t="str">
        <f t="shared" si="10"/>
        <v/>
      </c>
      <c r="P29" s="123" t="str">
        <f t="shared" si="11"/>
        <v/>
      </c>
      <c r="Q29" s="123" t="str">
        <f t="shared" si="12"/>
        <v/>
      </c>
      <c r="R29" s="76" t="e">
        <f t="shared" si="13"/>
        <v>#DIV/0!</v>
      </c>
      <c r="S29" s="4"/>
      <c r="T29" s="4"/>
      <c r="U29" s="4"/>
      <c r="V29" s="4"/>
      <c r="W29" s="77" t="e">
        <f t="shared" si="14"/>
        <v>#DIV/0!</v>
      </c>
      <c r="X29" s="77" t="e">
        <f t="shared" si="15"/>
        <v>#DIV/0!</v>
      </c>
      <c r="Y29" s="77" t="e" cm="1">
        <f t="array" ref="Y29">_xlfn.IFS(R29&gt;=0.8,5,R29&gt;=0.6,3,R29&gt;=0.2,1,R29&lt;0.2,0)</f>
        <v>#DIV/0!</v>
      </c>
      <c r="Z29" s="55" t="e">
        <f t="shared" si="48"/>
        <v>#DIV/0!</v>
      </c>
      <c r="AA29" s="5"/>
      <c r="AB29" s="5"/>
      <c r="AC29" s="5"/>
      <c r="AD29" s="5"/>
      <c r="AE29" s="5"/>
      <c r="AF29" s="5"/>
      <c r="AG29" s="5"/>
      <c r="AH29" s="5"/>
      <c r="AI29" s="5"/>
      <c r="AJ29" s="5"/>
      <c r="AK29" s="5"/>
      <c r="AL29" s="5"/>
      <c r="AM29" s="5"/>
      <c r="AN29" s="126" t="e">
        <f>IF(AND(Z29&gt;Summary!$C$5, Z29&lt;=Summary!$D$5),Summary!$B$5,IF(AND(Z29&gt;Summary!$C$6, Z29&lt;=Summary!$D$6),Summary!$B$6,IF(AND(Z29&gt;Summary!$C$7, Z29&lt;=Summary!$D$7),Summary!$B$7,Summary!$B$8)))</f>
        <v>#DIV/0!</v>
      </c>
      <c r="AO29" s="14"/>
      <c r="AP29" s="14"/>
      <c r="AQ29" s="14"/>
      <c r="AR29" s="14"/>
      <c r="AS29" s="14"/>
      <c r="AT29" s="29"/>
      <c r="AU29" s="4"/>
      <c r="AV29" s="157"/>
      <c r="AW29" s="6"/>
      <c r="AX29" s="6"/>
      <c r="AY29" s="33" t="str">
        <f t="shared" si="42"/>
        <v/>
      </c>
      <c r="AZ29" s="42"/>
      <c r="BA29" s="3"/>
      <c r="BB29" s="37" t="str">
        <f t="shared" si="47"/>
        <v/>
      </c>
      <c r="BC29" s="3"/>
      <c r="BD29" s="3"/>
      <c r="BE29" s="4"/>
      <c r="BF29" s="157"/>
      <c r="BG29" s="6"/>
      <c r="BH29" s="6"/>
      <c r="BI29" s="33" t="str">
        <f t="shared" si="22"/>
        <v/>
      </c>
      <c r="BJ29" s="42"/>
      <c r="BK29" s="3"/>
      <c r="BL29" s="37" t="str">
        <f t="shared" si="23"/>
        <v/>
      </c>
      <c r="BM29" s="3"/>
      <c r="BN29" s="3"/>
      <c r="BO29" s="4"/>
      <c r="BP29" s="157"/>
      <c r="BQ29" s="6"/>
      <c r="BR29" s="6"/>
      <c r="BS29" s="33" t="str">
        <f t="shared" si="24"/>
        <v/>
      </c>
      <c r="BT29" s="42"/>
      <c r="BU29" s="3"/>
      <c r="BV29" s="37" t="str">
        <f t="shared" si="25"/>
        <v/>
      </c>
      <c r="BW29" s="3"/>
      <c r="BX29" s="3"/>
      <c r="BY29" s="4"/>
      <c r="BZ29" s="157"/>
      <c r="CA29" s="6"/>
      <c r="CB29" s="6"/>
      <c r="CC29" s="33" t="str">
        <f t="shared" si="43"/>
        <v/>
      </c>
      <c r="CD29" s="42"/>
      <c r="CE29" s="3"/>
      <c r="CF29" s="37" t="str">
        <f t="shared" si="44"/>
        <v/>
      </c>
      <c r="CG29" s="3"/>
      <c r="CH29" s="3"/>
      <c r="CI29" s="4"/>
      <c r="CJ29" s="157"/>
      <c r="CK29" s="6"/>
      <c r="CL29" s="6"/>
      <c r="CM29" s="33" t="str">
        <f t="shared" si="26"/>
        <v/>
      </c>
      <c r="CN29" s="42"/>
      <c r="CO29" s="3"/>
      <c r="CP29" s="37" t="str">
        <f t="shared" si="27"/>
        <v/>
      </c>
      <c r="CQ29" s="3"/>
      <c r="CR29" s="3"/>
      <c r="CS29" s="4"/>
      <c r="CT29" s="157"/>
      <c r="CU29" s="6"/>
      <c r="CV29" s="6"/>
      <c r="CW29" s="33" t="str">
        <f t="shared" si="45"/>
        <v/>
      </c>
      <c r="CX29" s="42"/>
      <c r="CY29" s="3"/>
      <c r="CZ29" s="37" t="str">
        <f t="shared" si="28"/>
        <v/>
      </c>
      <c r="DA29" s="3"/>
      <c r="DB29" s="3"/>
      <c r="DC29" s="4"/>
      <c r="DD29" s="157"/>
      <c r="DE29" s="6"/>
      <c r="DF29" s="6"/>
      <c r="DG29" s="33" t="str">
        <f t="shared" si="29"/>
        <v/>
      </c>
      <c r="DH29" s="42"/>
      <c r="DI29" s="3"/>
      <c r="DJ29" s="37" t="str">
        <f t="shared" si="30"/>
        <v/>
      </c>
      <c r="DK29" s="3"/>
      <c r="DL29" s="3"/>
      <c r="DM29" s="4"/>
      <c r="DN29" s="157"/>
      <c r="DO29" s="6"/>
      <c r="DP29" s="6"/>
      <c r="DQ29" s="33" t="str">
        <f t="shared" si="31"/>
        <v/>
      </c>
      <c r="DR29" s="42"/>
      <c r="DS29" s="3"/>
      <c r="DT29" s="37" t="str">
        <f t="shared" si="32"/>
        <v/>
      </c>
      <c r="DU29" s="3"/>
      <c r="DV29" s="3"/>
      <c r="DW29" s="4"/>
      <c r="DX29" s="157"/>
      <c r="DY29" s="6"/>
      <c r="DZ29" s="6"/>
      <c r="EA29" s="33" t="str">
        <f t="shared" si="33"/>
        <v/>
      </c>
      <c r="EB29" s="42"/>
      <c r="EC29" s="3"/>
      <c r="ED29" s="37" t="str">
        <f t="shared" si="34"/>
        <v/>
      </c>
      <c r="EE29" s="3"/>
      <c r="EF29" s="3"/>
      <c r="EG29" s="4"/>
      <c r="EH29" s="4"/>
      <c r="EI29" s="6"/>
      <c r="EJ29" s="6"/>
      <c r="EK29" s="33" t="str">
        <f t="shared" si="35"/>
        <v/>
      </c>
      <c r="EL29" s="42"/>
      <c r="EM29" s="3"/>
      <c r="EN29" s="37" t="str">
        <f t="shared" si="36"/>
        <v/>
      </c>
      <c r="EO29" s="3"/>
      <c r="EP29" s="3"/>
      <c r="EQ29" s="4"/>
      <c r="ER29" s="4"/>
      <c r="ES29" s="6"/>
      <c r="ET29" s="6"/>
      <c r="EU29" s="33" t="str">
        <f t="shared" si="37"/>
        <v/>
      </c>
      <c r="EV29" s="42"/>
      <c r="EW29" s="3"/>
      <c r="EX29" s="37" t="str">
        <f t="shared" si="38"/>
        <v/>
      </c>
      <c r="EY29" s="3"/>
      <c r="EZ29" s="3"/>
      <c r="FA29" s="4"/>
      <c r="FB29" s="4"/>
      <c r="FC29" s="6"/>
      <c r="FD29" s="6"/>
      <c r="FE29" s="33" t="str">
        <f t="shared" si="39"/>
        <v/>
      </c>
      <c r="FF29" s="42"/>
      <c r="FG29" s="3"/>
      <c r="FH29" s="37" t="str">
        <f t="shared" si="40"/>
        <v/>
      </c>
      <c r="FI29" s="3"/>
      <c r="FJ29" s="3"/>
      <c r="FM29" s="54">
        <f t="shared" si="46"/>
        <v>0</v>
      </c>
      <c r="FN29" s="54">
        <f t="shared" si="46"/>
        <v>0</v>
      </c>
      <c r="FO29" s="471">
        <f t="shared" si="41"/>
        <v>0</v>
      </c>
      <c r="FP29" s="471">
        <f t="shared" si="41"/>
        <v>0</v>
      </c>
    </row>
    <row r="30" spans="2:172" ht="42" hidden="1" customHeight="1">
      <c r="B30" s="3"/>
      <c r="C30" s="3"/>
      <c r="D30" s="3"/>
      <c r="E30" s="4"/>
      <c r="F30" s="123" t="str">
        <f t="shared" si="1"/>
        <v/>
      </c>
      <c r="G30" s="123" t="str">
        <f t="shared" si="2"/>
        <v/>
      </c>
      <c r="H30" s="123" t="str">
        <f t="shared" si="3"/>
        <v/>
      </c>
      <c r="I30" s="123" t="str">
        <f t="shared" si="4"/>
        <v/>
      </c>
      <c r="J30" s="123" t="str">
        <f t="shared" si="5"/>
        <v/>
      </c>
      <c r="K30" s="123" t="str">
        <f t="shared" si="6"/>
        <v/>
      </c>
      <c r="L30" s="123" t="str">
        <f t="shared" si="7"/>
        <v/>
      </c>
      <c r="M30" s="123" t="str">
        <f t="shared" si="8"/>
        <v/>
      </c>
      <c r="N30" s="123" t="str">
        <f t="shared" si="9"/>
        <v/>
      </c>
      <c r="O30" s="123" t="str">
        <f t="shared" si="10"/>
        <v/>
      </c>
      <c r="P30" s="123" t="str">
        <f t="shared" si="11"/>
        <v/>
      </c>
      <c r="Q30" s="123" t="str">
        <f t="shared" si="12"/>
        <v/>
      </c>
      <c r="R30" s="76" t="e">
        <f t="shared" si="13"/>
        <v>#DIV/0!</v>
      </c>
      <c r="S30" s="4"/>
      <c r="T30" s="4"/>
      <c r="U30" s="4"/>
      <c r="V30" s="4"/>
      <c r="W30" s="77" t="e">
        <f t="shared" si="14"/>
        <v>#DIV/0!</v>
      </c>
      <c r="X30" s="77" t="e">
        <f t="shared" si="15"/>
        <v>#DIV/0!</v>
      </c>
      <c r="Y30" s="77" t="e" cm="1">
        <f t="array" ref="Y30">_xlfn.IFS(R30&gt;=0.8,5,R30&gt;=0.6,3,R30&gt;=0.2,1,R30&lt;0.2,0)</f>
        <v>#DIV/0!</v>
      </c>
      <c r="Z30" s="55" t="e">
        <f t="shared" si="48"/>
        <v>#DIV/0!</v>
      </c>
      <c r="AA30" s="5"/>
      <c r="AB30" s="5"/>
      <c r="AC30" s="5"/>
      <c r="AD30" s="5"/>
      <c r="AE30" s="5"/>
      <c r="AF30" s="5"/>
      <c r="AG30" s="5"/>
      <c r="AH30" s="5"/>
      <c r="AI30" s="5"/>
      <c r="AJ30" s="5"/>
      <c r="AK30" s="5"/>
      <c r="AL30" s="5"/>
      <c r="AM30" s="5"/>
      <c r="AN30" s="126" t="e">
        <f>IF(AND(Z30&gt;Summary!$C$5, Z30&lt;=Summary!$D$5),Summary!$B$5,IF(AND(Z30&gt;Summary!$C$6, Z30&lt;=Summary!$D$6),Summary!$B$6,IF(AND(Z30&gt;Summary!$C$7, Z30&lt;=Summary!$D$7),Summary!$B$7,Summary!$B$8)))</f>
        <v>#DIV/0!</v>
      </c>
      <c r="AO30" s="14"/>
      <c r="AP30" s="14"/>
      <c r="AQ30" s="14"/>
      <c r="AR30" s="14"/>
      <c r="AS30" s="14"/>
      <c r="AT30" s="29"/>
      <c r="AU30" s="4"/>
      <c r="AV30" s="157"/>
      <c r="AW30" s="6"/>
      <c r="AX30" s="6"/>
      <c r="AY30" s="33" t="str">
        <f t="shared" si="42"/>
        <v/>
      </c>
      <c r="AZ30" s="42"/>
      <c r="BA30" s="3"/>
      <c r="BB30" s="37" t="str">
        <f t="shared" si="47"/>
        <v/>
      </c>
      <c r="BC30" s="3"/>
      <c r="BD30" s="3"/>
      <c r="BE30" s="4"/>
      <c r="BF30" s="157"/>
      <c r="BG30" s="6"/>
      <c r="BH30" s="6"/>
      <c r="BI30" s="33" t="str">
        <f t="shared" si="22"/>
        <v/>
      </c>
      <c r="BJ30" s="42"/>
      <c r="BK30" s="3"/>
      <c r="BL30" s="37" t="str">
        <f t="shared" si="23"/>
        <v/>
      </c>
      <c r="BM30" s="3"/>
      <c r="BN30" s="3"/>
      <c r="BO30" s="4"/>
      <c r="BP30" s="157"/>
      <c r="BQ30" s="6"/>
      <c r="BR30" s="6"/>
      <c r="BS30" s="33" t="str">
        <f t="shared" si="24"/>
        <v/>
      </c>
      <c r="BT30" s="42"/>
      <c r="BU30" s="3"/>
      <c r="BV30" s="37" t="str">
        <f t="shared" si="25"/>
        <v/>
      </c>
      <c r="BW30" s="3"/>
      <c r="BX30" s="3"/>
      <c r="BY30" s="4"/>
      <c r="BZ30" s="157"/>
      <c r="CA30" s="6"/>
      <c r="CB30" s="6"/>
      <c r="CC30" s="33" t="str">
        <f t="shared" si="43"/>
        <v/>
      </c>
      <c r="CD30" s="42"/>
      <c r="CE30" s="3"/>
      <c r="CF30" s="37" t="str">
        <f t="shared" si="44"/>
        <v/>
      </c>
      <c r="CG30" s="3"/>
      <c r="CH30" s="3"/>
      <c r="CI30" s="4"/>
      <c r="CJ30" s="157"/>
      <c r="CK30" s="6"/>
      <c r="CL30" s="6"/>
      <c r="CM30" s="33" t="str">
        <f t="shared" si="26"/>
        <v/>
      </c>
      <c r="CN30" s="42"/>
      <c r="CO30" s="3"/>
      <c r="CP30" s="37" t="str">
        <f t="shared" si="27"/>
        <v/>
      </c>
      <c r="CQ30" s="3"/>
      <c r="CR30" s="3"/>
      <c r="CS30" s="4"/>
      <c r="CT30" s="157"/>
      <c r="CU30" s="6"/>
      <c r="CV30" s="6"/>
      <c r="CW30" s="33" t="str">
        <f t="shared" si="45"/>
        <v/>
      </c>
      <c r="CX30" s="42"/>
      <c r="CY30" s="3"/>
      <c r="CZ30" s="37" t="str">
        <f t="shared" si="28"/>
        <v/>
      </c>
      <c r="DA30" s="3"/>
      <c r="DB30" s="3"/>
      <c r="DC30" s="4"/>
      <c r="DD30" s="157"/>
      <c r="DE30" s="6"/>
      <c r="DF30" s="6"/>
      <c r="DG30" s="33" t="str">
        <f t="shared" si="29"/>
        <v/>
      </c>
      <c r="DH30" s="42"/>
      <c r="DI30" s="3"/>
      <c r="DJ30" s="37" t="str">
        <f t="shared" si="30"/>
        <v/>
      </c>
      <c r="DK30" s="3"/>
      <c r="DL30" s="3"/>
      <c r="DM30" s="4"/>
      <c r="DN30" s="157"/>
      <c r="DO30" s="6"/>
      <c r="DP30" s="6"/>
      <c r="DQ30" s="33" t="str">
        <f t="shared" si="31"/>
        <v/>
      </c>
      <c r="DR30" s="42"/>
      <c r="DS30" s="3"/>
      <c r="DT30" s="37" t="str">
        <f t="shared" si="32"/>
        <v/>
      </c>
      <c r="DU30" s="3"/>
      <c r="DV30" s="3"/>
      <c r="DW30" s="4"/>
      <c r="DX30" s="157"/>
      <c r="DY30" s="6"/>
      <c r="DZ30" s="6"/>
      <c r="EA30" s="33" t="str">
        <f t="shared" si="33"/>
        <v/>
      </c>
      <c r="EB30" s="42"/>
      <c r="EC30" s="3"/>
      <c r="ED30" s="37" t="str">
        <f t="shared" si="34"/>
        <v/>
      </c>
      <c r="EE30" s="3"/>
      <c r="EF30" s="3"/>
      <c r="EG30" s="4"/>
      <c r="EH30" s="4"/>
      <c r="EI30" s="6"/>
      <c r="EJ30" s="6"/>
      <c r="EK30" s="33" t="str">
        <f t="shared" si="35"/>
        <v/>
      </c>
      <c r="EL30" s="42"/>
      <c r="EM30" s="3"/>
      <c r="EN30" s="37" t="str">
        <f t="shared" si="36"/>
        <v/>
      </c>
      <c r="EO30" s="3"/>
      <c r="EP30" s="3"/>
      <c r="EQ30" s="4"/>
      <c r="ER30" s="4"/>
      <c r="ES30" s="6"/>
      <c r="ET30" s="6"/>
      <c r="EU30" s="33" t="str">
        <f t="shared" si="37"/>
        <v/>
      </c>
      <c r="EV30" s="42"/>
      <c r="EW30" s="3"/>
      <c r="EX30" s="37" t="str">
        <f t="shared" si="38"/>
        <v/>
      </c>
      <c r="EY30" s="3"/>
      <c r="EZ30" s="3"/>
      <c r="FA30" s="4"/>
      <c r="FB30" s="4"/>
      <c r="FC30" s="6"/>
      <c r="FD30" s="6"/>
      <c r="FE30" s="33" t="str">
        <f t="shared" si="39"/>
        <v/>
      </c>
      <c r="FF30" s="42"/>
      <c r="FG30" s="3"/>
      <c r="FH30" s="37" t="str">
        <f t="shared" si="40"/>
        <v/>
      </c>
      <c r="FI30" s="3"/>
      <c r="FJ30" s="3"/>
      <c r="FM30" s="54">
        <f t="shared" si="46"/>
        <v>0</v>
      </c>
      <c r="FN30" s="54">
        <f t="shared" si="46"/>
        <v>0</v>
      </c>
      <c r="FO30" s="471">
        <f t="shared" si="41"/>
        <v>0</v>
      </c>
      <c r="FP30" s="471">
        <f t="shared" si="41"/>
        <v>0</v>
      </c>
    </row>
    <row r="31" spans="2:172" ht="42" hidden="1" customHeight="1">
      <c r="B31" s="3"/>
      <c r="C31" s="3"/>
      <c r="D31" s="3"/>
      <c r="E31" s="4"/>
      <c r="F31" s="123" t="str">
        <f t="shared" si="1"/>
        <v/>
      </c>
      <c r="G31" s="123" t="str">
        <f t="shared" si="2"/>
        <v/>
      </c>
      <c r="H31" s="123" t="str">
        <f t="shared" si="3"/>
        <v/>
      </c>
      <c r="I31" s="123" t="str">
        <f t="shared" si="4"/>
        <v/>
      </c>
      <c r="J31" s="123" t="str">
        <f t="shared" si="5"/>
        <v/>
      </c>
      <c r="K31" s="123" t="str">
        <f t="shared" si="6"/>
        <v/>
      </c>
      <c r="L31" s="123" t="str">
        <f t="shared" si="7"/>
        <v/>
      </c>
      <c r="M31" s="123" t="str">
        <f t="shared" si="8"/>
        <v/>
      </c>
      <c r="N31" s="123" t="str">
        <f t="shared" si="9"/>
        <v/>
      </c>
      <c r="O31" s="123" t="str">
        <f t="shared" si="10"/>
        <v/>
      </c>
      <c r="P31" s="123" t="str">
        <f t="shared" si="11"/>
        <v/>
      </c>
      <c r="Q31" s="123" t="str">
        <f t="shared" si="12"/>
        <v/>
      </c>
      <c r="R31" s="76" t="e">
        <f t="shared" si="13"/>
        <v>#DIV/0!</v>
      </c>
      <c r="S31" s="4"/>
      <c r="T31" s="4"/>
      <c r="U31" s="4"/>
      <c r="V31" s="4"/>
      <c r="W31" s="77" t="e">
        <f t="shared" si="14"/>
        <v>#DIV/0!</v>
      </c>
      <c r="X31" s="77" t="e">
        <f t="shared" si="15"/>
        <v>#DIV/0!</v>
      </c>
      <c r="Y31" s="77" t="e" cm="1">
        <f t="array" ref="Y31">_xlfn.IFS(R31&gt;=0.8,5,R31&gt;=0.6,3,R31&gt;=0.2,1,R31&lt;0.2,0)</f>
        <v>#DIV/0!</v>
      </c>
      <c r="Z31" s="55" t="e">
        <f t="shared" si="48"/>
        <v>#DIV/0!</v>
      </c>
      <c r="AA31" s="5"/>
      <c r="AB31" s="5"/>
      <c r="AC31" s="5"/>
      <c r="AD31" s="5"/>
      <c r="AE31" s="5"/>
      <c r="AF31" s="5"/>
      <c r="AG31" s="5"/>
      <c r="AH31" s="5"/>
      <c r="AI31" s="5"/>
      <c r="AJ31" s="5"/>
      <c r="AK31" s="5"/>
      <c r="AL31" s="5"/>
      <c r="AM31" s="5"/>
      <c r="AN31" s="126" t="e">
        <f>IF(AND(Z31&gt;Summary!$C$5, Z31&lt;=Summary!$D$5),Summary!$B$5,IF(AND(Z31&gt;Summary!$C$6, Z31&lt;=Summary!$D$6),Summary!$B$6,IF(AND(Z31&gt;Summary!$C$7, Z31&lt;=Summary!$D$7),Summary!$B$7,Summary!$B$8)))</f>
        <v>#DIV/0!</v>
      </c>
      <c r="AO31" s="14"/>
      <c r="AP31" s="14"/>
      <c r="AQ31" s="14"/>
      <c r="AR31" s="14"/>
      <c r="AS31" s="14"/>
      <c r="AT31" s="29"/>
      <c r="AU31" s="4"/>
      <c r="AV31" s="157"/>
      <c r="AW31" s="6"/>
      <c r="AX31" s="6"/>
      <c r="AY31" s="33" t="str">
        <f t="shared" si="42"/>
        <v/>
      </c>
      <c r="AZ31" s="42"/>
      <c r="BA31" s="3"/>
      <c r="BB31" s="37" t="str">
        <f t="shared" si="47"/>
        <v/>
      </c>
      <c r="BC31" s="3"/>
      <c r="BD31" s="3"/>
      <c r="BE31" s="4"/>
      <c r="BF31" s="157"/>
      <c r="BG31" s="6"/>
      <c r="BH31" s="6"/>
      <c r="BI31" s="33" t="str">
        <f t="shared" si="22"/>
        <v/>
      </c>
      <c r="BJ31" s="42"/>
      <c r="BK31" s="3"/>
      <c r="BL31" s="37" t="str">
        <f t="shared" si="23"/>
        <v/>
      </c>
      <c r="BM31" s="3"/>
      <c r="BN31" s="3"/>
      <c r="BO31" s="4"/>
      <c r="BP31" s="157"/>
      <c r="BQ31" s="6"/>
      <c r="BR31" s="6"/>
      <c r="BS31" s="33" t="str">
        <f t="shared" si="24"/>
        <v/>
      </c>
      <c r="BT31" s="42"/>
      <c r="BU31" s="3"/>
      <c r="BV31" s="37" t="str">
        <f t="shared" si="25"/>
        <v/>
      </c>
      <c r="BW31" s="3"/>
      <c r="BX31" s="3"/>
      <c r="BY31" s="4"/>
      <c r="BZ31" s="157"/>
      <c r="CA31" s="6"/>
      <c r="CB31" s="6"/>
      <c r="CC31" s="33" t="str">
        <f t="shared" si="43"/>
        <v/>
      </c>
      <c r="CD31" s="42"/>
      <c r="CE31" s="3"/>
      <c r="CF31" s="37" t="str">
        <f t="shared" si="44"/>
        <v/>
      </c>
      <c r="CG31" s="3"/>
      <c r="CH31" s="3"/>
      <c r="CI31" s="4"/>
      <c r="CJ31" s="157"/>
      <c r="CK31" s="6"/>
      <c r="CL31" s="6"/>
      <c r="CM31" s="33" t="str">
        <f t="shared" si="26"/>
        <v/>
      </c>
      <c r="CN31" s="42"/>
      <c r="CO31" s="3"/>
      <c r="CP31" s="37" t="str">
        <f t="shared" si="27"/>
        <v/>
      </c>
      <c r="CQ31" s="3"/>
      <c r="CR31" s="3"/>
      <c r="CS31" s="4"/>
      <c r="CT31" s="157"/>
      <c r="CU31" s="6"/>
      <c r="CV31" s="6"/>
      <c r="CW31" s="33" t="str">
        <f t="shared" si="45"/>
        <v/>
      </c>
      <c r="CX31" s="42"/>
      <c r="CY31" s="3"/>
      <c r="CZ31" s="37" t="str">
        <f t="shared" si="28"/>
        <v/>
      </c>
      <c r="DA31" s="3"/>
      <c r="DB31" s="3"/>
      <c r="DC31" s="4"/>
      <c r="DD31" s="157"/>
      <c r="DE31" s="6"/>
      <c r="DF31" s="6"/>
      <c r="DG31" s="33" t="str">
        <f t="shared" si="29"/>
        <v/>
      </c>
      <c r="DH31" s="42"/>
      <c r="DI31" s="3"/>
      <c r="DJ31" s="37" t="str">
        <f t="shared" si="30"/>
        <v/>
      </c>
      <c r="DK31" s="3"/>
      <c r="DL31" s="3"/>
      <c r="DM31" s="4"/>
      <c r="DN31" s="157"/>
      <c r="DO31" s="6"/>
      <c r="DP31" s="6"/>
      <c r="DQ31" s="33" t="str">
        <f t="shared" si="31"/>
        <v/>
      </c>
      <c r="DR31" s="42"/>
      <c r="DS31" s="3"/>
      <c r="DT31" s="37" t="str">
        <f t="shared" si="32"/>
        <v/>
      </c>
      <c r="DU31" s="3"/>
      <c r="DV31" s="3"/>
      <c r="DW31" s="4"/>
      <c r="DX31" s="157"/>
      <c r="DY31" s="6"/>
      <c r="DZ31" s="6"/>
      <c r="EA31" s="33" t="str">
        <f t="shared" si="33"/>
        <v/>
      </c>
      <c r="EB31" s="42"/>
      <c r="EC31" s="3"/>
      <c r="ED31" s="37" t="str">
        <f t="shared" si="34"/>
        <v/>
      </c>
      <c r="EE31" s="3"/>
      <c r="EF31" s="3"/>
      <c r="EG31" s="4"/>
      <c r="EH31" s="4"/>
      <c r="EI31" s="6"/>
      <c r="EJ31" s="6"/>
      <c r="EK31" s="33" t="str">
        <f t="shared" si="35"/>
        <v/>
      </c>
      <c r="EL31" s="42"/>
      <c r="EM31" s="3"/>
      <c r="EN31" s="37" t="str">
        <f t="shared" si="36"/>
        <v/>
      </c>
      <c r="EO31" s="3"/>
      <c r="EP31" s="3"/>
      <c r="EQ31" s="4"/>
      <c r="ER31" s="4"/>
      <c r="ES31" s="6"/>
      <c r="ET31" s="6"/>
      <c r="EU31" s="33" t="str">
        <f t="shared" si="37"/>
        <v/>
      </c>
      <c r="EV31" s="42"/>
      <c r="EW31" s="3"/>
      <c r="EX31" s="37" t="str">
        <f t="shared" si="38"/>
        <v/>
      </c>
      <c r="EY31" s="3"/>
      <c r="EZ31" s="3"/>
      <c r="FA31" s="4"/>
      <c r="FB31" s="4"/>
      <c r="FC31" s="6"/>
      <c r="FD31" s="6"/>
      <c r="FE31" s="33" t="str">
        <f t="shared" si="39"/>
        <v/>
      </c>
      <c r="FF31" s="42"/>
      <c r="FG31" s="3"/>
      <c r="FH31" s="37" t="str">
        <f t="shared" si="40"/>
        <v/>
      </c>
      <c r="FI31" s="3"/>
      <c r="FJ31" s="3"/>
      <c r="FM31" s="54">
        <f t="shared" si="46"/>
        <v>0</v>
      </c>
      <c r="FN31" s="54">
        <f t="shared" si="46"/>
        <v>0</v>
      </c>
      <c r="FO31" s="471">
        <f t="shared" si="41"/>
        <v>0</v>
      </c>
      <c r="FP31" s="471">
        <f t="shared" si="41"/>
        <v>0</v>
      </c>
    </row>
    <row r="32" spans="2:172">
      <c r="E32" s="52"/>
      <c r="S32" s="52"/>
      <c r="T32" s="52"/>
      <c r="U32" s="52"/>
      <c r="V32" s="52"/>
      <c r="W32" s="52"/>
      <c r="X32" s="52"/>
      <c r="Y32" s="52"/>
      <c r="Z32" s="52"/>
    </row>
    <row r="33" spans="2:46" ht="42" customHeight="1">
      <c r="B33" s="27" t="s">
        <v>1308</v>
      </c>
      <c r="C33" s="27" t="s">
        <v>445</v>
      </c>
      <c r="D33" s="27"/>
      <c r="E33" s="28"/>
      <c r="F33" s="28" t="s">
        <v>182</v>
      </c>
      <c r="G33" s="28" t="s">
        <v>182</v>
      </c>
      <c r="H33" s="28" t="s">
        <v>182</v>
      </c>
      <c r="I33" s="28" t="s">
        <v>182</v>
      </c>
      <c r="J33" s="28" t="s">
        <v>182</v>
      </c>
      <c r="K33" s="28" t="s">
        <v>182</v>
      </c>
      <c r="L33" s="28" t="s">
        <v>182</v>
      </c>
      <c r="M33" s="28" t="s">
        <v>182</v>
      </c>
      <c r="N33" s="28" t="s">
        <v>182</v>
      </c>
      <c r="O33" s="28" t="s">
        <v>182</v>
      </c>
      <c r="P33" s="28" t="s">
        <v>182</v>
      </c>
      <c r="Q33" s="28" t="s">
        <v>182</v>
      </c>
      <c r="R33" s="28" t="s">
        <v>182</v>
      </c>
      <c r="S33" s="28"/>
      <c r="T33" s="28"/>
      <c r="U33" s="28"/>
      <c r="V33" s="28"/>
      <c r="W33" s="28" t="s">
        <v>182</v>
      </c>
      <c r="X33" s="28" t="s">
        <v>182</v>
      </c>
      <c r="Y33" s="28" t="s">
        <v>182</v>
      </c>
      <c r="Z33" s="28" t="s">
        <v>182</v>
      </c>
      <c r="AA33" s="29"/>
      <c r="AB33" s="29"/>
      <c r="AC33" s="29"/>
      <c r="AD33" s="29"/>
      <c r="AE33" s="29"/>
      <c r="AF33" s="29"/>
      <c r="AG33" s="29"/>
      <c r="AH33" s="29"/>
      <c r="AI33" s="29"/>
      <c r="AJ33" s="29"/>
      <c r="AK33" s="29"/>
      <c r="AL33" s="29"/>
      <c r="AM33" s="29"/>
      <c r="AN33" s="29"/>
      <c r="AO33" s="14"/>
      <c r="AP33" s="44"/>
      <c r="AQ33" s="44"/>
      <c r="AR33" s="44"/>
      <c r="AS33" s="44"/>
      <c r="AT33" s="44"/>
    </row>
    <row r="34" spans="2:46" ht="42" customHeight="1">
      <c r="B34" s="27" t="s">
        <v>1309</v>
      </c>
      <c r="C34" s="27" t="s">
        <v>445</v>
      </c>
      <c r="D34" s="27"/>
      <c r="E34" s="28"/>
      <c r="F34" s="28" t="s">
        <v>182</v>
      </c>
      <c r="G34" s="28" t="s">
        <v>182</v>
      </c>
      <c r="H34" s="28" t="s">
        <v>182</v>
      </c>
      <c r="I34" s="28" t="s">
        <v>182</v>
      </c>
      <c r="J34" s="28" t="s">
        <v>182</v>
      </c>
      <c r="K34" s="28" t="s">
        <v>182</v>
      </c>
      <c r="L34" s="28" t="s">
        <v>182</v>
      </c>
      <c r="M34" s="28" t="s">
        <v>182</v>
      </c>
      <c r="N34" s="28" t="s">
        <v>182</v>
      </c>
      <c r="O34" s="28" t="s">
        <v>182</v>
      </c>
      <c r="P34" s="28" t="s">
        <v>182</v>
      </c>
      <c r="Q34" s="28" t="s">
        <v>182</v>
      </c>
      <c r="R34" s="28" t="s">
        <v>182</v>
      </c>
      <c r="S34" s="28"/>
      <c r="T34" s="28"/>
      <c r="U34" s="28"/>
      <c r="V34" s="28"/>
      <c r="W34" s="28" t="s">
        <v>182</v>
      </c>
      <c r="X34" s="28" t="s">
        <v>182</v>
      </c>
      <c r="Y34" s="28" t="s">
        <v>182</v>
      </c>
      <c r="Z34" s="28" t="s">
        <v>182</v>
      </c>
      <c r="AA34" s="29"/>
      <c r="AB34" s="29"/>
      <c r="AC34" s="29"/>
      <c r="AD34" s="29"/>
      <c r="AE34" s="29"/>
      <c r="AF34" s="29"/>
      <c r="AG34" s="29"/>
      <c r="AH34" s="29"/>
      <c r="AI34" s="29"/>
      <c r="AJ34" s="29"/>
      <c r="AK34" s="29"/>
      <c r="AL34" s="29"/>
      <c r="AM34" s="29"/>
      <c r="AN34" s="29"/>
      <c r="AO34" s="14"/>
      <c r="AP34" s="44"/>
      <c r="AQ34" s="44"/>
      <c r="AR34" s="44"/>
      <c r="AS34" s="44"/>
      <c r="AT34" s="44"/>
    </row>
    <row r="35" spans="2:46" ht="20.25" customHeight="1">
      <c r="B35" s="3"/>
      <c r="C35" s="27"/>
      <c r="D35" s="27"/>
      <c r="E35" s="28"/>
      <c r="F35" s="4"/>
      <c r="G35" s="4"/>
      <c r="H35" s="4"/>
      <c r="I35" s="4"/>
      <c r="J35" s="4"/>
      <c r="K35" s="4"/>
      <c r="L35" s="4"/>
      <c r="M35" s="4"/>
      <c r="N35" s="4"/>
      <c r="O35" s="4"/>
      <c r="P35" s="4"/>
      <c r="Q35" s="4"/>
      <c r="R35" s="4"/>
      <c r="S35" s="28"/>
      <c r="T35" s="28"/>
      <c r="U35" s="28"/>
      <c r="V35" s="28"/>
      <c r="W35" s="28"/>
      <c r="X35" s="28"/>
      <c r="Y35" s="28"/>
      <c r="Z35" s="28"/>
      <c r="AA35" s="5"/>
      <c r="AB35" s="5"/>
      <c r="AC35" s="5"/>
      <c r="AD35" s="5"/>
      <c r="AE35" s="5"/>
      <c r="AF35" s="5"/>
      <c r="AG35" s="5"/>
      <c r="AH35" s="5"/>
      <c r="AI35" s="5"/>
      <c r="AJ35" s="5"/>
      <c r="AK35" s="5"/>
      <c r="AL35" s="5"/>
      <c r="AM35" s="5"/>
      <c r="AN35" s="5"/>
      <c r="AO35" s="14"/>
      <c r="AP35" s="44"/>
      <c r="AQ35" s="44"/>
      <c r="AR35" s="44"/>
      <c r="AS35" s="44"/>
      <c r="AT35" s="44"/>
    </row>
  </sheetData>
  <autoFilter ref="B9:FJ31" xr:uid="{DB65B998-112B-4FF5-984D-85A370970A94}">
    <filterColumn colId="43">
      <filters>
        <filter val="○"/>
      </filters>
    </filterColumn>
  </autoFilter>
  <sortState xmlns:xlrd2="http://schemas.microsoft.com/office/spreadsheetml/2017/richdata2" ref="B10:C26">
    <sortCondition ref="B10:B26"/>
  </sortState>
  <mergeCells count="2">
    <mergeCell ref="AC8:AD8"/>
    <mergeCell ref="AE8:AF8"/>
  </mergeCells>
  <phoneticPr fontId="10"/>
  <conditionalFormatting sqref="Z10:Z31">
    <cfRule type="cellIs" dxfId="885" priority="28" operator="lessThan">
      <formula>60</formula>
    </cfRule>
  </conditionalFormatting>
  <conditionalFormatting sqref="AV10:AV31">
    <cfRule type="cellIs" dxfId="884" priority="36" operator="equal">
      <formula>"×"</formula>
    </cfRule>
  </conditionalFormatting>
  <conditionalFormatting sqref="AY10:AY31">
    <cfRule type="cellIs" dxfId="883" priority="47" operator="lessThan">
      <formula>0.6</formula>
    </cfRule>
  </conditionalFormatting>
  <conditionalFormatting sqref="BB10:BB31">
    <cfRule type="cellIs" dxfId="882" priority="45" operator="greaterThan">
      <formula>8</formula>
    </cfRule>
  </conditionalFormatting>
  <conditionalFormatting sqref="BF10:BF31">
    <cfRule type="cellIs" dxfId="881" priority="3" operator="equal">
      <formula>"×"</formula>
    </cfRule>
  </conditionalFormatting>
  <conditionalFormatting sqref="BI10:BI31">
    <cfRule type="cellIs" dxfId="880" priority="5" operator="lessThan">
      <formula>0.6</formula>
    </cfRule>
  </conditionalFormatting>
  <conditionalFormatting sqref="BL10:BL31">
    <cfRule type="cellIs" dxfId="879" priority="4" operator="greaterThan">
      <formula>8</formula>
    </cfRule>
  </conditionalFormatting>
  <conditionalFormatting sqref="BN10:BN12 BD10:BD31 BX10:BX31 CH10:CH31 CR10:CR31 DB10:DB31 DL10:DL31 DV10:DV31 EF10:EF31 EP10:EP31 EZ10:EZ31 FJ10:FJ31 BN14:BN20 BN22:BN31">
    <cfRule type="cellIs" dxfId="878" priority="46" operator="notEqual">
      <formula>BC10</formula>
    </cfRule>
  </conditionalFormatting>
  <conditionalFormatting sqref="BP10:BP31">
    <cfRule type="cellIs" dxfId="877" priority="2" operator="equal">
      <formula>"×"</formula>
    </cfRule>
  </conditionalFormatting>
  <conditionalFormatting sqref="BS10:BS31">
    <cfRule type="cellIs" dxfId="876" priority="7" operator="lessThan">
      <formula>0.6</formula>
    </cfRule>
  </conditionalFormatting>
  <conditionalFormatting sqref="BV10:BV31">
    <cfRule type="cellIs" dxfId="875" priority="6" operator="greaterThan">
      <formula>8</formula>
    </cfRule>
  </conditionalFormatting>
  <conditionalFormatting sqref="BZ10:BZ31">
    <cfRule type="cellIs" dxfId="874" priority="1" operator="equal">
      <formula>"×"</formula>
    </cfRule>
  </conditionalFormatting>
  <conditionalFormatting sqref="CC10:CC31">
    <cfRule type="cellIs" dxfId="873" priority="9" operator="lessThan">
      <formula>0.6</formula>
    </cfRule>
  </conditionalFormatting>
  <conditionalFormatting sqref="CF10:CF31">
    <cfRule type="cellIs" dxfId="872" priority="8" operator="greaterThan">
      <formula>8</formula>
    </cfRule>
  </conditionalFormatting>
  <conditionalFormatting sqref="CJ10:CJ31">
    <cfRule type="cellIs" dxfId="871" priority="32" operator="equal">
      <formula>"×"</formula>
    </cfRule>
  </conditionalFormatting>
  <conditionalFormatting sqref="CM10:CM31">
    <cfRule type="cellIs" dxfId="870" priority="44" operator="lessThan">
      <formula>0.6</formula>
    </cfRule>
  </conditionalFormatting>
  <conditionalFormatting sqref="CP10:CP31">
    <cfRule type="cellIs" dxfId="869" priority="43" operator="greaterThan">
      <formula>8</formula>
    </cfRule>
  </conditionalFormatting>
  <conditionalFormatting sqref="CT10:CT31">
    <cfRule type="cellIs" dxfId="868" priority="29" operator="equal">
      <formula>"×"</formula>
    </cfRule>
  </conditionalFormatting>
  <conditionalFormatting sqref="CW10:CW31">
    <cfRule type="cellIs" dxfId="867" priority="31" operator="lessThan">
      <formula>0.6</formula>
    </cfRule>
  </conditionalFormatting>
  <conditionalFormatting sqref="CZ10:CZ31">
    <cfRule type="cellIs" dxfId="866" priority="30" operator="greaterThan">
      <formula>8</formula>
    </cfRule>
  </conditionalFormatting>
  <conditionalFormatting sqref="DD10:DD31">
    <cfRule type="cellIs" dxfId="865" priority="17" operator="equal">
      <formula>"×"</formula>
    </cfRule>
  </conditionalFormatting>
  <conditionalFormatting sqref="DG10:DG31">
    <cfRule type="cellIs" dxfId="864" priority="27" operator="lessThan">
      <formula>0.6</formula>
    </cfRule>
  </conditionalFormatting>
  <conditionalFormatting sqref="DJ10:DJ31">
    <cfRule type="cellIs" dxfId="863" priority="26" operator="greaterThan">
      <formula>8</formula>
    </cfRule>
  </conditionalFormatting>
  <conditionalFormatting sqref="DN10:DN31">
    <cfRule type="cellIs" dxfId="862" priority="16" operator="equal">
      <formula>"×"</formula>
    </cfRule>
  </conditionalFormatting>
  <conditionalFormatting sqref="DQ10:DQ31">
    <cfRule type="cellIs" dxfId="861" priority="19" operator="lessThan">
      <formula>0.6</formula>
    </cfRule>
  </conditionalFormatting>
  <conditionalFormatting sqref="DT10:DT31">
    <cfRule type="cellIs" dxfId="860" priority="18" operator="greaterThan">
      <formula>8</formula>
    </cfRule>
  </conditionalFormatting>
  <conditionalFormatting sqref="DX10:DX31">
    <cfRule type="cellIs" dxfId="859" priority="15" operator="equal">
      <formula>"×"</formula>
    </cfRule>
  </conditionalFormatting>
  <conditionalFormatting sqref="EA10:EA31">
    <cfRule type="cellIs" dxfId="858" priority="21" operator="lessThan">
      <formula>0.6</formula>
    </cfRule>
  </conditionalFormatting>
  <conditionalFormatting sqref="ED10:ED31">
    <cfRule type="cellIs" dxfId="857" priority="20" operator="greaterThan">
      <formula>8</formula>
    </cfRule>
  </conditionalFormatting>
  <conditionalFormatting sqref="EH10:EH31">
    <cfRule type="cellIs" dxfId="856" priority="14" operator="equal">
      <formula>"×"</formula>
    </cfRule>
  </conditionalFormatting>
  <conditionalFormatting sqref="EK10:EK31">
    <cfRule type="cellIs" dxfId="855" priority="23" operator="lessThan">
      <formula>0.6</formula>
    </cfRule>
  </conditionalFormatting>
  <conditionalFormatting sqref="EN10:EN31">
    <cfRule type="cellIs" dxfId="854" priority="22" operator="greaterThan">
      <formula>8</formula>
    </cfRule>
  </conditionalFormatting>
  <conditionalFormatting sqref="ER10:ER31">
    <cfRule type="cellIs" dxfId="853" priority="13" operator="equal">
      <formula>"×"</formula>
    </cfRule>
  </conditionalFormatting>
  <conditionalFormatting sqref="EU10:EU31">
    <cfRule type="cellIs" dxfId="852" priority="25" operator="lessThan">
      <formula>0.6</formula>
    </cfRule>
  </conditionalFormatting>
  <conditionalFormatting sqref="EX10:EX31">
    <cfRule type="cellIs" dxfId="851" priority="24" operator="greaterThan">
      <formula>8</formula>
    </cfRule>
  </conditionalFormatting>
  <conditionalFormatting sqref="FB10:FB31">
    <cfRule type="cellIs" dxfId="850" priority="10" operator="equal">
      <formula>"×"</formula>
    </cfRule>
  </conditionalFormatting>
  <conditionalFormatting sqref="FE10:FE31">
    <cfRule type="cellIs" dxfId="849" priority="12" operator="lessThan">
      <formula>0.6</formula>
    </cfRule>
  </conditionalFormatting>
  <conditionalFormatting sqref="FH10:FH31">
    <cfRule type="cellIs" dxfId="848" priority="11" operator="greaterThan">
      <formula>8</formula>
    </cfRule>
  </conditionalFormatting>
  <dataValidations count="2">
    <dataValidation type="list" allowBlank="1" showInputMessage="1" showErrorMessage="1" sqref="CJ10:CJ31 CT10:CT31 DD10:DD31 DN10:DN31 DX10:DX31 EH10:EH31 ER10:ER31 FB10:FB31 BP10:BP31 BF10:BF31 BZ10:BZ31 AV10:AV31" xr:uid="{C8DF5BB7-7C99-4384-93BC-64877DAC6E40}">
      <formula1>"○,×"</formula1>
    </dataValidation>
    <dataValidation type="list" allowBlank="1" showInputMessage="1" showErrorMessage="1" sqref="AO22:AP31 AO13:AP20 AQ10:AS31 AO33:AT35" xr:uid="{AA5FD2B7-34C8-4317-89EE-4A307BC987AD}">
      <formula1>"○,△,×"</formula1>
    </dataValidation>
  </dataValidation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2920-C642-4D2A-8D24-C738D1F7592D}">
  <dimension ref="B2:FJ35"/>
  <sheetViews>
    <sheetView showGridLines="0" zoomScale="85" zoomScaleNormal="85" workbookViewId="0">
      <pane xSplit="5" ySplit="9" topLeftCell="AT12" activePane="bottomRight" state="frozen"/>
      <selection pane="bottomRight" activeCell="AT12" sqref="AT12"/>
      <selection pane="bottomLeft" activeCell="A10" sqref="A10"/>
      <selection pane="topRight" activeCell="F1" sqref="F1"/>
    </sheetView>
  </sheetViews>
  <sheetFormatPr defaultRowHeight="11.1" outlineLevelCol="1"/>
  <cols>
    <col min="1" max="1" width="2.5703125" customWidth="1"/>
    <col min="2" max="2" width="24.42578125" bestFit="1" customWidth="1"/>
    <col min="3" max="3" width="8.140625" bestFit="1" customWidth="1"/>
    <col min="4" max="4" width="18.85546875" customWidth="1"/>
    <col min="5" max="5" width="7.85546875" customWidth="1"/>
    <col min="6" max="17" width="6.85546875" customWidth="1" outlineLevel="1"/>
    <col min="18" max="18" width="10.140625" customWidth="1" outlineLevel="1"/>
    <col min="19" max="22" width="7.85546875" customWidth="1" outlineLevel="1"/>
    <col min="23" max="25" width="7.85546875" customWidth="1"/>
    <col min="26" max="26" width="11.7109375" customWidth="1"/>
    <col min="27" max="27" width="29.5703125" customWidth="1"/>
    <col min="28" max="28" width="25.140625" customWidth="1"/>
    <col min="29" max="29" width="10.140625" customWidth="1"/>
    <col min="30" max="30" width="35.42578125" customWidth="1"/>
    <col min="31" max="31" width="9.140625" customWidth="1"/>
    <col min="32" max="32" width="47.7109375" customWidth="1"/>
    <col min="33" max="33" width="13" bestFit="1" customWidth="1"/>
    <col min="34" max="34" width="13.42578125" bestFit="1" customWidth="1"/>
    <col min="35" max="35" width="10.42578125" bestFit="1" customWidth="1"/>
    <col min="36" max="36" width="13.42578125" bestFit="1" customWidth="1"/>
    <col min="37" max="37" width="9.7109375" bestFit="1" customWidth="1"/>
    <col min="38" max="38" width="38.7109375" customWidth="1"/>
    <col min="39" max="39" width="47.7109375" customWidth="1"/>
    <col min="40" max="40" width="10.5703125" bestFit="1" customWidth="1"/>
    <col min="41" max="45" width="11" customWidth="1"/>
    <col min="46" max="46" width="35.42578125" customWidth="1"/>
    <col min="47" max="166" width="10.5703125" customWidth="1"/>
  </cols>
  <sheetData>
    <row r="2" spans="2:166" ht="15">
      <c r="B2" s="25" t="s">
        <v>113</v>
      </c>
      <c r="C2" s="25"/>
      <c r="D2" s="25"/>
      <c r="E2" s="25"/>
      <c r="F2" s="32" t="s">
        <v>114</v>
      </c>
      <c r="G2" s="16"/>
      <c r="H2" s="16"/>
      <c r="I2" s="16"/>
      <c r="J2" s="16"/>
      <c r="K2" s="16"/>
      <c r="L2" s="70"/>
      <c r="M2" s="16"/>
      <c r="N2" s="16"/>
      <c r="O2" s="71"/>
      <c r="P2" s="1"/>
      <c r="S2" s="25"/>
      <c r="T2" s="25"/>
      <c r="U2" s="25"/>
      <c r="V2" s="25"/>
      <c r="W2" s="25"/>
      <c r="X2" s="25"/>
      <c r="Y2" s="25"/>
      <c r="Z2" s="25"/>
      <c r="AB2" s="54"/>
      <c r="AC2" s="54"/>
      <c r="AD2" s="54"/>
      <c r="AE2" s="54"/>
      <c r="AF2" s="54" t="s">
        <v>187</v>
      </c>
      <c r="AG2" s="54"/>
      <c r="AH2" s="54"/>
      <c r="AI2" s="54"/>
      <c r="AJ2" s="54"/>
      <c r="AK2" s="54"/>
      <c r="AL2" s="54"/>
      <c r="AM2" s="54"/>
      <c r="AN2" s="54"/>
    </row>
    <row r="3" spans="2:166">
      <c r="B3" s="24" t="s">
        <v>1310</v>
      </c>
      <c r="F3" s="1" t="s">
        <v>14</v>
      </c>
      <c r="H3" s="24" t="s">
        <v>116</v>
      </c>
      <c r="N3" s="24"/>
      <c r="O3" s="72"/>
      <c r="P3" s="1"/>
      <c r="Q3" t="s">
        <v>189</v>
      </c>
      <c r="AB3" s="54"/>
      <c r="AC3" s="54"/>
      <c r="AD3" s="54"/>
      <c r="AE3" s="54"/>
      <c r="AF3" s="54" t="s">
        <v>190</v>
      </c>
      <c r="AG3" s="54"/>
      <c r="AH3" s="54"/>
      <c r="AI3" s="54"/>
      <c r="AJ3" s="54"/>
      <c r="AK3" s="54"/>
      <c r="AL3" s="54"/>
      <c r="AM3" s="54"/>
      <c r="AN3" s="54"/>
    </row>
    <row r="4" spans="2:166">
      <c r="F4" s="34"/>
      <c r="H4" s="24" t="s">
        <v>117</v>
      </c>
      <c r="L4" s="24"/>
      <c r="N4" s="24"/>
      <c r="O4" s="72"/>
      <c r="P4" s="1"/>
      <c r="Q4" t="s">
        <v>191</v>
      </c>
      <c r="AF4" t="s">
        <v>192</v>
      </c>
    </row>
    <row r="5" spans="2:166">
      <c r="F5" s="34" t="s">
        <v>15</v>
      </c>
      <c r="H5" s="24" t="s">
        <v>118</v>
      </c>
      <c r="L5" s="24"/>
      <c r="N5" s="24"/>
      <c r="O5" s="72"/>
      <c r="P5" s="1"/>
      <c r="Q5" t="s">
        <v>193</v>
      </c>
      <c r="AF5" t="s">
        <v>194</v>
      </c>
    </row>
    <row r="6" spans="2:166" ht="12.6">
      <c r="B6" s="78" t="s">
        <v>1311</v>
      </c>
      <c r="F6" s="2"/>
      <c r="G6" s="22"/>
      <c r="H6" s="22" t="s">
        <v>119</v>
      </c>
      <c r="I6" s="17"/>
      <c r="J6" s="17"/>
      <c r="K6" s="17"/>
      <c r="L6" s="17"/>
      <c r="M6" s="22"/>
      <c r="N6" s="22"/>
      <c r="O6" s="73"/>
      <c r="P6" s="1"/>
      <c r="AF6" t="s">
        <v>196</v>
      </c>
      <c r="AU6" s="10" t="s">
        <v>120</v>
      </c>
      <c r="AV6" s="51"/>
      <c r="AW6" s="11"/>
      <c r="AX6" s="11"/>
      <c r="AY6" s="11"/>
      <c r="AZ6" s="11"/>
      <c r="BA6" s="11"/>
      <c r="BB6" s="11"/>
      <c r="BC6" s="11"/>
      <c r="BD6" s="12"/>
      <c r="BE6" s="43" t="s">
        <v>121</v>
      </c>
      <c r="BF6" s="51"/>
      <c r="BG6" s="11"/>
      <c r="BH6" s="11"/>
      <c r="BI6" s="11"/>
      <c r="BJ6" s="11"/>
      <c r="BK6" s="11"/>
      <c r="BL6" s="11"/>
      <c r="BM6" s="11"/>
      <c r="BN6" s="12"/>
      <c r="BO6" s="43" t="s">
        <v>122</v>
      </c>
      <c r="BP6" s="51"/>
      <c r="BQ6" s="11"/>
      <c r="BR6" s="11"/>
      <c r="BS6" s="11"/>
      <c r="BT6" s="11"/>
      <c r="BU6" s="11"/>
      <c r="BV6" s="11"/>
      <c r="BW6" s="11"/>
      <c r="BX6" s="12"/>
      <c r="BY6" s="43" t="s">
        <v>123</v>
      </c>
      <c r="BZ6" s="51"/>
      <c r="CA6" s="11"/>
      <c r="CB6" s="11"/>
      <c r="CC6" s="11"/>
      <c r="CD6" s="11"/>
      <c r="CE6" s="11"/>
      <c r="CF6" s="11"/>
      <c r="CG6" s="11"/>
      <c r="CH6" s="12"/>
      <c r="CI6" s="43" t="s">
        <v>124</v>
      </c>
      <c r="CJ6" s="51"/>
      <c r="CK6" s="11"/>
      <c r="CL6" s="11"/>
      <c r="CM6" s="11"/>
      <c r="CN6" s="11"/>
      <c r="CO6" s="11"/>
      <c r="CP6" s="11"/>
      <c r="CQ6" s="11"/>
      <c r="CR6" s="12"/>
      <c r="CS6" s="43" t="s">
        <v>125</v>
      </c>
      <c r="CT6" s="51"/>
      <c r="CU6" s="11"/>
      <c r="CV6" s="11"/>
      <c r="CW6" s="11"/>
      <c r="CX6" s="11"/>
      <c r="CY6" s="11"/>
      <c r="CZ6" s="11"/>
      <c r="DA6" s="11"/>
      <c r="DB6" s="12"/>
      <c r="DC6" s="43" t="s">
        <v>126</v>
      </c>
      <c r="DD6" s="51"/>
      <c r="DE6" s="11"/>
      <c r="DF6" s="11"/>
      <c r="DG6" s="11"/>
      <c r="DH6" s="11"/>
      <c r="DI6" s="11"/>
      <c r="DJ6" s="11"/>
      <c r="DK6" s="11"/>
      <c r="DL6" s="12"/>
      <c r="DM6" s="43" t="s">
        <v>127</v>
      </c>
      <c r="DN6" s="51"/>
      <c r="DO6" s="11"/>
      <c r="DP6" s="11"/>
      <c r="DQ6" s="11"/>
      <c r="DR6" s="11"/>
      <c r="DS6" s="11"/>
      <c r="DT6" s="11"/>
      <c r="DU6" s="11"/>
      <c r="DV6" s="12"/>
      <c r="DW6" s="43" t="s">
        <v>128</v>
      </c>
      <c r="DX6" s="51"/>
      <c r="DY6" s="11"/>
      <c r="DZ6" s="11"/>
      <c r="EA6" s="11"/>
      <c r="EB6" s="11"/>
      <c r="EC6" s="11"/>
      <c r="ED6" s="11"/>
      <c r="EE6" s="11"/>
      <c r="EF6" s="12"/>
      <c r="EG6" s="43" t="s">
        <v>129</v>
      </c>
      <c r="EH6" s="51"/>
      <c r="EI6" s="11"/>
      <c r="EJ6" s="11"/>
      <c r="EK6" s="11"/>
      <c r="EL6" s="11"/>
      <c r="EM6" s="11"/>
      <c r="EN6" s="11"/>
      <c r="EO6" s="11"/>
      <c r="EP6" s="12"/>
      <c r="EQ6" s="43" t="s">
        <v>130</v>
      </c>
      <c r="ER6" s="51"/>
      <c r="ES6" s="11"/>
      <c r="ET6" s="11"/>
      <c r="EU6" s="11"/>
      <c r="EV6" s="11"/>
      <c r="EW6" s="11"/>
      <c r="EX6" s="11"/>
      <c r="EY6" s="11"/>
      <c r="EZ6" s="12"/>
      <c r="FA6" s="43" t="s">
        <v>131</v>
      </c>
      <c r="FB6" s="51"/>
      <c r="FC6" s="11"/>
      <c r="FD6" s="11"/>
      <c r="FE6" s="11"/>
      <c r="FF6" s="11"/>
      <c r="FG6" s="11"/>
      <c r="FH6" s="11"/>
      <c r="FI6" s="11"/>
      <c r="FJ6" s="12"/>
    </row>
    <row r="7" spans="2:166">
      <c r="AP7">
        <f>COUNTIF(AP10:AP50,"○")</f>
        <v>2</v>
      </c>
      <c r="AQ7">
        <f>COUNTIF(AQ10:AQ50,"○")</f>
        <v>3</v>
      </c>
      <c r="AR7">
        <f>COUNTIF(AR10:AR50,"○")</f>
        <v>0</v>
      </c>
      <c r="AS7">
        <f>COUNTIF(AS10:AS50,"○")</f>
        <v>0</v>
      </c>
      <c r="AU7" s="18" t="s">
        <v>132</v>
      </c>
      <c r="AV7" s="12"/>
      <c r="AW7" s="18" t="s">
        <v>14</v>
      </c>
      <c r="AX7" s="11"/>
      <c r="AY7" s="12"/>
      <c r="AZ7" s="18" t="s">
        <v>15</v>
      </c>
      <c r="BA7" s="11"/>
      <c r="BB7" s="11"/>
      <c r="BC7" s="11"/>
      <c r="BD7" s="12"/>
      <c r="BE7" s="18" t="s">
        <v>132</v>
      </c>
      <c r="BF7" s="12"/>
      <c r="BG7" s="18" t="s">
        <v>14</v>
      </c>
      <c r="BH7" s="11"/>
      <c r="BI7" s="12"/>
      <c r="BJ7" s="18" t="s">
        <v>15</v>
      </c>
      <c r="BK7" s="11"/>
      <c r="BL7" s="11"/>
      <c r="BM7" s="11"/>
      <c r="BN7" s="12"/>
      <c r="BO7" s="18" t="s">
        <v>132</v>
      </c>
      <c r="BP7" s="12"/>
      <c r="BQ7" s="18" t="s">
        <v>14</v>
      </c>
      <c r="BR7" s="11"/>
      <c r="BS7" s="12"/>
      <c r="BT7" s="18" t="s">
        <v>15</v>
      </c>
      <c r="BU7" s="11"/>
      <c r="BV7" s="11"/>
      <c r="BW7" s="11"/>
      <c r="BX7" s="12"/>
      <c r="BY7" s="18" t="s">
        <v>132</v>
      </c>
      <c r="BZ7" s="12"/>
      <c r="CA7" s="18" t="s">
        <v>14</v>
      </c>
      <c r="CB7" s="11"/>
      <c r="CC7" s="12"/>
      <c r="CD7" s="18" t="s">
        <v>15</v>
      </c>
      <c r="CE7" s="11"/>
      <c r="CF7" s="11"/>
      <c r="CG7" s="11"/>
      <c r="CH7" s="12"/>
      <c r="CI7" s="18" t="s">
        <v>132</v>
      </c>
      <c r="CJ7" s="12"/>
      <c r="CK7" s="18" t="s">
        <v>14</v>
      </c>
      <c r="CL7" s="11"/>
      <c r="CM7" s="12"/>
      <c r="CN7" s="18" t="s">
        <v>15</v>
      </c>
      <c r="CO7" s="11"/>
      <c r="CP7" s="11"/>
      <c r="CQ7" s="11"/>
      <c r="CR7" s="12"/>
      <c r="CS7" s="18" t="s">
        <v>132</v>
      </c>
      <c r="CT7" s="12"/>
      <c r="CU7" s="18" t="s">
        <v>14</v>
      </c>
      <c r="CV7" s="11"/>
      <c r="CW7" s="12"/>
      <c r="CX7" s="18" t="s">
        <v>15</v>
      </c>
      <c r="CY7" s="11"/>
      <c r="CZ7" s="11"/>
      <c r="DA7" s="11"/>
      <c r="DB7" s="12"/>
      <c r="DC7" s="18" t="s">
        <v>132</v>
      </c>
      <c r="DD7" s="12"/>
      <c r="DE7" s="18" t="s">
        <v>14</v>
      </c>
      <c r="DF7" s="11"/>
      <c r="DG7" s="12"/>
      <c r="DH7" s="18" t="s">
        <v>15</v>
      </c>
      <c r="DI7" s="11"/>
      <c r="DJ7" s="11"/>
      <c r="DK7" s="11"/>
      <c r="DL7" s="12"/>
      <c r="DM7" s="18" t="s">
        <v>132</v>
      </c>
      <c r="DN7" s="12"/>
      <c r="DO7" s="18" t="s">
        <v>14</v>
      </c>
      <c r="DP7" s="11"/>
      <c r="DQ7" s="12"/>
      <c r="DR7" s="18" t="s">
        <v>15</v>
      </c>
      <c r="DS7" s="11"/>
      <c r="DT7" s="11"/>
      <c r="DU7" s="11"/>
      <c r="DV7" s="12"/>
      <c r="DW7" s="18" t="s">
        <v>132</v>
      </c>
      <c r="DX7" s="12"/>
      <c r="DY7" s="18" t="s">
        <v>14</v>
      </c>
      <c r="DZ7" s="11"/>
      <c r="EA7" s="12"/>
      <c r="EB7" s="18" t="s">
        <v>15</v>
      </c>
      <c r="EC7" s="11"/>
      <c r="ED7" s="11"/>
      <c r="EE7" s="11"/>
      <c r="EF7" s="12"/>
      <c r="EG7" s="18" t="s">
        <v>132</v>
      </c>
      <c r="EH7" s="12"/>
      <c r="EI7" s="18" t="s">
        <v>14</v>
      </c>
      <c r="EJ7" s="11"/>
      <c r="EK7" s="12"/>
      <c r="EL7" s="18" t="s">
        <v>15</v>
      </c>
      <c r="EM7" s="11"/>
      <c r="EN7" s="11"/>
      <c r="EO7" s="11"/>
      <c r="EP7" s="12"/>
      <c r="EQ7" s="18" t="s">
        <v>132</v>
      </c>
      <c r="ER7" s="12"/>
      <c r="ES7" s="18" t="s">
        <v>14</v>
      </c>
      <c r="ET7" s="11"/>
      <c r="EU7" s="12"/>
      <c r="EV7" s="18" t="s">
        <v>15</v>
      </c>
      <c r="EW7" s="11"/>
      <c r="EX7" s="11"/>
      <c r="EY7" s="11"/>
      <c r="EZ7" s="12"/>
      <c r="FA7" s="18" t="s">
        <v>132</v>
      </c>
      <c r="FB7" s="12"/>
      <c r="FC7" s="18" t="s">
        <v>14</v>
      </c>
      <c r="FD7" s="11"/>
      <c r="FE7" s="12"/>
      <c r="FF7" s="18" t="s">
        <v>15</v>
      </c>
      <c r="FG7" s="11"/>
      <c r="FH7" s="11"/>
      <c r="FI7" s="11"/>
      <c r="FJ7" s="12"/>
    </row>
    <row r="8" spans="2:166">
      <c r="B8" s="7"/>
      <c r="C8" s="10"/>
      <c r="D8" s="10"/>
      <c r="E8" s="10"/>
      <c r="F8" s="59" t="s">
        <v>133</v>
      </c>
      <c r="G8" s="11"/>
      <c r="H8" s="11"/>
      <c r="I8" s="11"/>
      <c r="J8" s="11"/>
      <c r="K8" s="11"/>
      <c r="L8" s="74"/>
      <c r="M8" s="11"/>
      <c r="N8" s="11"/>
      <c r="O8" s="11"/>
      <c r="P8" s="11"/>
      <c r="Q8" s="11"/>
      <c r="R8" s="11"/>
      <c r="S8" s="11"/>
      <c r="T8" s="11"/>
      <c r="U8" s="11"/>
      <c r="V8" s="12"/>
      <c r="W8" s="57"/>
      <c r="X8" s="58"/>
      <c r="Y8" s="58"/>
      <c r="Z8" s="56"/>
      <c r="AA8" s="31" t="s">
        <v>134</v>
      </c>
      <c r="AB8" s="31" t="s">
        <v>135</v>
      </c>
      <c r="AC8" s="531" t="s">
        <v>197</v>
      </c>
      <c r="AD8" s="531"/>
      <c r="AE8" s="531" t="s">
        <v>198</v>
      </c>
      <c r="AF8" s="531"/>
      <c r="AG8" s="46"/>
      <c r="AH8" s="46"/>
      <c r="AI8" s="46"/>
      <c r="AJ8" s="46"/>
      <c r="AK8" s="46"/>
      <c r="AL8" s="46"/>
      <c r="AM8" s="46"/>
      <c r="AN8" s="45"/>
      <c r="AO8" s="210"/>
      <c r="AP8" s="210"/>
      <c r="AQ8" s="210"/>
      <c r="AR8" s="45"/>
      <c r="AS8" s="45"/>
      <c r="AT8" s="211"/>
      <c r="AU8" s="13"/>
      <c r="AV8" s="7"/>
      <c r="AW8" s="19" t="s">
        <v>116</v>
      </c>
      <c r="AX8" s="41"/>
      <c r="AY8" s="39"/>
      <c r="AZ8" s="40" t="s">
        <v>136</v>
      </c>
      <c r="BA8" s="38"/>
      <c r="BB8" s="39"/>
      <c r="BC8" s="19" t="s">
        <v>137</v>
      </c>
      <c r="BD8" s="15"/>
      <c r="BE8" s="13"/>
      <c r="BF8" s="7"/>
      <c r="BG8" s="19" t="s">
        <v>116</v>
      </c>
      <c r="BH8" s="41"/>
      <c r="BI8" s="39"/>
      <c r="BJ8" s="40" t="s">
        <v>136</v>
      </c>
      <c r="BK8" s="38"/>
      <c r="BL8" s="39"/>
      <c r="BM8" s="19" t="s">
        <v>137</v>
      </c>
      <c r="BN8" s="15"/>
      <c r="BO8" s="13"/>
      <c r="BP8" s="7"/>
      <c r="BQ8" s="19" t="s">
        <v>116</v>
      </c>
      <c r="BR8" s="41"/>
      <c r="BS8" s="39"/>
      <c r="BT8" s="40" t="s">
        <v>136</v>
      </c>
      <c r="BU8" s="38"/>
      <c r="BV8" s="39"/>
      <c r="BW8" s="19" t="s">
        <v>137</v>
      </c>
      <c r="BX8" s="15"/>
      <c r="BY8" s="13"/>
      <c r="BZ8" s="7"/>
      <c r="CA8" s="19" t="s">
        <v>116</v>
      </c>
      <c r="CB8" s="41"/>
      <c r="CC8" s="39"/>
      <c r="CD8" s="40" t="s">
        <v>136</v>
      </c>
      <c r="CE8" s="38"/>
      <c r="CF8" s="39"/>
      <c r="CG8" s="19" t="s">
        <v>137</v>
      </c>
      <c r="CH8" s="15"/>
      <c r="CI8" s="13"/>
      <c r="CJ8" s="7"/>
      <c r="CK8" s="19" t="s">
        <v>116</v>
      </c>
      <c r="CL8" s="41"/>
      <c r="CM8" s="39"/>
      <c r="CN8" s="40" t="s">
        <v>136</v>
      </c>
      <c r="CO8" s="38"/>
      <c r="CP8" s="39"/>
      <c r="CQ8" s="19" t="s">
        <v>137</v>
      </c>
      <c r="CR8" s="15"/>
      <c r="CS8" s="13"/>
      <c r="CT8" s="7"/>
      <c r="CU8" s="19" t="s">
        <v>116</v>
      </c>
      <c r="CV8" s="41"/>
      <c r="CW8" s="39"/>
      <c r="CX8" s="40" t="s">
        <v>136</v>
      </c>
      <c r="CY8" s="38"/>
      <c r="CZ8" s="39"/>
      <c r="DA8" s="19" t="s">
        <v>137</v>
      </c>
      <c r="DB8" s="15"/>
      <c r="DC8" s="13"/>
      <c r="DD8" s="7"/>
      <c r="DE8" s="19" t="s">
        <v>116</v>
      </c>
      <c r="DF8" s="41"/>
      <c r="DG8" s="39"/>
      <c r="DH8" s="40" t="s">
        <v>136</v>
      </c>
      <c r="DI8" s="38"/>
      <c r="DJ8" s="39"/>
      <c r="DK8" s="19" t="s">
        <v>137</v>
      </c>
      <c r="DL8" s="15"/>
      <c r="DM8" s="13"/>
      <c r="DN8" s="7"/>
      <c r="DO8" s="19" t="s">
        <v>116</v>
      </c>
      <c r="DP8" s="41"/>
      <c r="DQ8" s="39"/>
      <c r="DR8" s="40" t="s">
        <v>136</v>
      </c>
      <c r="DS8" s="38"/>
      <c r="DT8" s="39"/>
      <c r="DU8" s="19" t="s">
        <v>137</v>
      </c>
      <c r="DV8" s="15"/>
      <c r="DW8" s="13"/>
      <c r="DX8" s="7"/>
      <c r="DY8" s="19" t="s">
        <v>116</v>
      </c>
      <c r="DZ8" s="41"/>
      <c r="EA8" s="39"/>
      <c r="EB8" s="40" t="s">
        <v>136</v>
      </c>
      <c r="EC8" s="38"/>
      <c r="ED8" s="39"/>
      <c r="EE8" s="19" t="s">
        <v>137</v>
      </c>
      <c r="EF8" s="15"/>
      <c r="EG8" s="13"/>
      <c r="EH8" s="7"/>
      <c r="EI8" s="19" t="s">
        <v>116</v>
      </c>
      <c r="EJ8" s="41"/>
      <c r="EK8" s="39"/>
      <c r="EL8" s="40" t="s">
        <v>136</v>
      </c>
      <c r="EM8" s="38"/>
      <c r="EN8" s="39"/>
      <c r="EO8" s="19" t="s">
        <v>137</v>
      </c>
      <c r="EP8" s="15"/>
      <c r="EQ8" s="13"/>
      <c r="ER8" s="7"/>
      <c r="ES8" s="19" t="s">
        <v>116</v>
      </c>
      <c r="ET8" s="41"/>
      <c r="EU8" s="39"/>
      <c r="EV8" s="40" t="s">
        <v>136</v>
      </c>
      <c r="EW8" s="38"/>
      <c r="EX8" s="39"/>
      <c r="EY8" s="19" t="s">
        <v>137</v>
      </c>
      <c r="EZ8" s="15"/>
      <c r="FA8" s="13"/>
      <c r="FB8" s="7"/>
      <c r="FC8" s="19" t="s">
        <v>116</v>
      </c>
      <c r="FD8" s="41"/>
      <c r="FE8" s="39"/>
      <c r="FF8" s="40" t="s">
        <v>136</v>
      </c>
      <c r="FG8" s="38"/>
      <c r="FH8" s="39"/>
      <c r="FI8" s="19" t="s">
        <v>137</v>
      </c>
      <c r="FJ8" s="15"/>
    </row>
    <row r="9" spans="2:166" ht="44.1">
      <c r="B9" s="8" t="s">
        <v>138</v>
      </c>
      <c r="C9" s="26" t="s">
        <v>139</v>
      </c>
      <c r="D9" s="26" t="s">
        <v>199</v>
      </c>
      <c r="E9" s="30" t="s">
        <v>140</v>
      </c>
      <c r="F9" s="122">
        <v>1</v>
      </c>
      <c r="G9" s="122">
        <v>2</v>
      </c>
      <c r="H9" s="122">
        <v>3</v>
      </c>
      <c r="I9" s="122">
        <v>4</v>
      </c>
      <c r="J9" s="122">
        <v>5</v>
      </c>
      <c r="K9" s="122">
        <v>6</v>
      </c>
      <c r="L9" s="122">
        <v>7</v>
      </c>
      <c r="M9" s="122">
        <v>8</v>
      </c>
      <c r="N9" s="122">
        <v>9</v>
      </c>
      <c r="O9" s="122">
        <v>10</v>
      </c>
      <c r="P9" s="122">
        <v>11</v>
      </c>
      <c r="Q9" s="122">
        <v>12</v>
      </c>
      <c r="R9" s="50" t="s">
        <v>145</v>
      </c>
      <c r="S9" s="30" t="s">
        <v>200</v>
      </c>
      <c r="T9" s="30" t="s">
        <v>201</v>
      </c>
      <c r="U9" s="30" t="s">
        <v>202</v>
      </c>
      <c r="V9" s="30" t="s">
        <v>13</v>
      </c>
      <c r="W9" s="53" t="s">
        <v>148</v>
      </c>
      <c r="X9" s="53" t="s">
        <v>149</v>
      </c>
      <c r="Y9" s="53" t="s">
        <v>150</v>
      </c>
      <c r="Z9" s="53" t="s">
        <v>1312</v>
      </c>
      <c r="AA9" s="30" t="s">
        <v>152</v>
      </c>
      <c r="AB9" s="30"/>
      <c r="AC9" s="183" t="s">
        <v>203</v>
      </c>
      <c r="AD9" s="183" t="s">
        <v>204</v>
      </c>
      <c r="AE9" s="183" t="s">
        <v>203</v>
      </c>
      <c r="AF9" s="183" t="s">
        <v>204</v>
      </c>
      <c r="AG9" s="125" t="s">
        <v>205</v>
      </c>
      <c r="AH9" s="125" t="s">
        <v>206</v>
      </c>
      <c r="AI9" s="125" t="s">
        <v>207</v>
      </c>
      <c r="AJ9" s="125" t="s">
        <v>208</v>
      </c>
      <c r="AK9" s="125" t="s">
        <v>209</v>
      </c>
      <c r="AL9" s="125" t="s">
        <v>210</v>
      </c>
      <c r="AM9" s="125" t="s">
        <v>211</v>
      </c>
      <c r="AN9" s="125" t="s">
        <v>212</v>
      </c>
      <c r="AO9" s="212" t="s">
        <v>1313</v>
      </c>
      <c r="AP9" s="48" t="s">
        <v>214</v>
      </c>
      <c r="AQ9" s="48" t="s">
        <v>215</v>
      </c>
      <c r="AR9" s="125" t="s">
        <v>216</v>
      </c>
      <c r="AS9" s="47" t="s">
        <v>450</v>
      </c>
      <c r="AT9" s="213" t="s">
        <v>154</v>
      </c>
      <c r="AU9" s="35" t="s">
        <v>155</v>
      </c>
      <c r="AV9" s="26" t="s">
        <v>156</v>
      </c>
      <c r="AW9" s="20" t="s">
        <v>157</v>
      </c>
      <c r="AX9" s="21" t="s">
        <v>165</v>
      </c>
      <c r="AY9" s="23" t="s">
        <v>159</v>
      </c>
      <c r="AZ9" s="21" t="s">
        <v>160</v>
      </c>
      <c r="BA9" s="21" t="s">
        <v>161</v>
      </c>
      <c r="BB9" s="21" t="s">
        <v>162</v>
      </c>
      <c r="BC9" s="21" t="s">
        <v>163</v>
      </c>
      <c r="BD9" s="23" t="s">
        <v>164</v>
      </c>
      <c r="BE9" s="35" t="s">
        <v>155</v>
      </c>
      <c r="BF9" s="26" t="s">
        <v>156</v>
      </c>
      <c r="BG9" s="20" t="s">
        <v>157</v>
      </c>
      <c r="BH9" s="21" t="s">
        <v>165</v>
      </c>
      <c r="BI9" s="23" t="s">
        <v>159</v>
      </c>
      <c r="BJ9" s="21" t="s">
        <v>160</v>
      </c>
      <c r="BK9" s="21" t="s">
        <v>161</v>
      </c>
      <c r="BL9" s="21" t="s">
        <v>162</v>
      </c>
      <c r="BM9" s="21" t="s">
        <v>163</v>
      </c>
      <c r="BN9" s="23" t="s">
        <v>164</v>
      </c>
      <c r="BO9" s="35" t="s">
        <v>155</v>
      </c>
      <c r="BP9" s="26" t="s">
        <v>156</v>
      </c>
      <c r="BQ9" s="20" t="s">
        <v>157</v>
      </c>
      <c r="BR9" s="21" t="s">
        <v>165</v>
      </c>
      <c r="BS9" s="23" t="s">
        <v>159</v>
      </c>
      <c r="BT9" s="21" t="s">
        <v>160</v>
      </c>
      <c r="BU9" s="21" t="s">
        <v>161</v>
      </c>
      <c r="BV9" s="21" t="s">
        <v>162</v>
      </c>
      <c r="BW9" s="21" t="s">
        <v>163</v>
      </c>
      <c r="BX9" s="23" t="s">
        <v>164</v>
      </c>
      <c r="BY9" s="35" t="s">
        <v>155</v>
      </c>
      <c r="BZ9" s="26" t="s">
        <v>156</v>
      </c>
      <c r="CA9" s="20" t="s">
        <v>157</v>
      </c>
      <c r="CB9" s="21" t="s">
        <v>165</v>
      </c>
      <c r="CC9" s="23" t="s">
        <v>159</v>
      </c>
      <c r="CD9" s="21" t="s">
        <v>160</v>
      </c>
      <c r="CE9" s="21" t="s">
        <v>161</v>
      </c>
      <c r="CF9" s="21" t="s">
        <v>162</v>
      </c>
      <c r="CG9" s="21" t="s">
        <v>163</v>
      </c>
      <c r="CH9" s="23" t="s">
        <v>164</v>
      </c>
      <c r="CI9" s="35" t="s">
        <v>155</v>
      </c>
      <c r="CJ9" s="26" t="s">
        <v>156</v>
      </c>
      <c r="CK9" s="20" t="s">
        <v>157</v>
      </c>
      <c r="CL9" s="21" t="s">
        <v>165</v>
      </c>
      <c r="CM9" s="23" t="s">
        <v>159</v>
      </c>
      <c r="CN9" s="21" t="s">
        <v>160</v>
      </c>
      <c r="CO9" s="21" t="s">
        <v>161</v>
      </c>
      <c r="CP9" s="21" t="s">
        <v>162</v>
      </c>
      <c r="CQ9" s="21" t="s">
        <v>163</v>
      </c>
      <c r="CR9" s="23" t="s">
        <v>164</v>
      </c>
      <c r="CS9" s="35" t="s">
        <v>155</v>
      </c>
      <c r="CT9" s="26" t="s">
        <v>156</v>
      </c>
      <c r="CU9" s="20" t="s">
        <v>157</v>
      </c>
      <c r="CV9" s="21" t="s">
        <v>165</v>
      </c>
      <c r="CW9" s="23" t="s">
        <v>159</v>
      </c>
      <c r="CX9" s="21" t="s">
        <v>160</v>
      </c>
      <c r="CY9" s="21" t="s">
        <v>161</v>
      </c>
      <c r="CZ9" s="21" t="s">
        <v>162</v>
      </c>
      <c r="DA9" s="21" t="s">
        <v>163</v>
      </c>
      <c r="DB9" s="23" t="s">
        <v>164</v>
      </c>
      <c r="DC9" s="35" t="s">
        <v>155</v>
      </c>
      <c r="DD9" s="26" t="s">
        <v>156</v>
      </c>
      <c r="DE9" s="20" t="s">
        <v>157</v>
      </c>
      <c r="DF9" s="21" t="s">
        <v>165</v>
      </c>
      <c r="DG9" s="23" t="s">
        <v>159</v>
      </c>
      <c r="DH9" s="21" t="s">
        <v>160</v>
      </c>
      <c r="DI9" s="21" t="s">
        <v>161</v>
      </c>
      <c r="DJ9" s="21" t="s">
        <v>162</v>
      </c>
      <c r="DK9" s="21" t="s">
        <v>163</v>
      </c>
      <c r="DL9" s="23" t="s">
        <v>164</v>
      </c>
      <c r="DM9" s="35" t="s">
        <v>155</v>
      </c>
      <c r="DN9" s="26" t="s">
        <v>156</v>
      </c>
      <c r="DO9" s="20" t="s">
        <v>157</v>
      </c>
      <c r="DP9" s="21" t="s">
        <v>165</v>
      </c>
      <c r="DQ9" s="23" t="s">
        <v>159</v>
      </c>
      <c r="DR9" s="21" t="s">
        <v>160</v>
      </c>
      <c r="DS9" s="21" t="s">
        <v>161</v>
      </c>
      <c r="DT9" s="21" t="s">
        <v>162</v>
      </c>
      <c r="DU9" s="21" t="s">
        <v>163</v>
      </c>
      <c r="DV9" s="23" t="s">
        <v>164</v>
      </c>
      <c r="DW9" s="35" t="s">
        <v>155</v>
      </c>
      <c r="DX9" s="26" t="s">
        <v>156</v>
      </c>
      <c r="DY9" s="20" t="s">
        <v>157</v>
      </c>
      <c r="DZ9" s="21" t="s">
        <v>165</v>
      </c>
      <c r="EA9" s="23" t="s">
        <v>159</v>
      </c>
      <c r="EB9" s="21" t="s">
        <v>160</v>
      </c>
      <c r="EC9" s="21" t="s">
        <v>161</v>
      </c>
      <c r="ED9" s="21" t="s">
        <v>162</v>
      </c>
      <c r="EE9" s="21" t="s">
        <v>163</v>
      </c>
      <c r="EF9" s="23" t="s">
        <v>164</v>
      </c>
      <c r="EG9" s="35" t="s">
        <v>155</v>
      </c>
      <c r="EH9" s="26" t="s">
        <v>156</v>
      </c>
      <c r="EI9" s="20" t="s">
        <v>157</v>
      </c>
      <c r="EJ9" s="21" t="s">
        <v>165</v>
      </c>
      <c r="EK9" s="23" t="s">
        <v>159</v>
      </c>
      <c r="EL9" s="21" t="s">
        <v>160</v>
      </c>
      <c r="EM9" s="21" t="s">
        <v>161</v>
      </c>
      <c r="EN9" s="21" t="s">
        <v>162</v>
      </c>
      <c r="EO9" s="21" t="s">
        <v>163</v>
      </c>
      <c r="EP9" s="23" t="s">
        <v>164</v>
      </c>
      <c r="EQ9" s="35" t="s">
        <v>155</v>
      </c>
      <c r="ER9" s="26" t="s">
        <v>156</v>
      </c>
      <c r="ES9" s="20" t="s">
        <v>157</v>
      </c>
      <c r="ET9" s="21" t="s">
        <v>165</v>
      </c>
      <c r="EU9" s="23" t="s">
        <v>159</v>
      </c>
      <c r="EV9" s="21" t="s">
        <v>160</v>
      </c>
      <c r="EW9" s="21" t="s">
        <v>161</v>
      </c>
      <c r="EX9" s="21" t="s">
        <v>162</v>
      </c>
      <c r="EY9" s="21" t="s">
        <v>163</v>
      </c>
      <c r="EZ9" s="23" t="s">
        <v>164</v>
      </c>
      <c r="FA9" s="35" t="s">
        <v>155</v>
      </c>
      <c r="FB9" s="26" t="s">
        <v>156</v>
      </c>
      <c r="FC9" s="20" t="s">
        <v>157</v>
      </c>
      <c r="FD9" s="21" t="s">
        <v>165</v>
      </c>
      <c r="FE9" s="23" t="s">
        <v>159</v>
      </c>
      <c r="FF9" s="21" t="s">
        <v>160</v>
      </c>
      <c r="FG9" s="21" t="s">
        <v>161</v>
      </c>
      <c r="FH9" s="21" t="s">
        <v>162</v>
      </c>
      <c r="FI9" s="21" t="s">
        <v>163</v>
      </c>
      <c r="FJ9" s="23" t="s">
        <v>164</v>
      </c>
    </row>
    <row r="10" spans="2:166" ht="111.75" customHeight="1">
      <c r="B10" s="27" t="s">
        <v>1314</v>
      </c>
      <c r="C10" s="27" t="s">
        <v>1315</v>
      </c>
      <c r="D10" s="27" t="s">
        <v>313</v>
      </c>
      <c r="E10" s="28">
        <v>5</v>
      </c>
      <c r="F10" s="123" t="str">
        <f t="shared" ref="F10:F31" si="0">IF($E10&lt;F$9,"",IF(AND(AY10&gt;0.6,BB10&lt;=8,BC10=BD10),"○","×")&amp;CHAR(10)&amp;"[P・Q]"&amp;CHAR(10)&amp;IF(AY10="","--",IF(AY10&gt;0.6,"○","×"))&amp;IF(BB10="","・--",IF(BB10&lt;=8,"・○","・×")))</f>
        <v>×
[P・Q]
○・×</v>
      </c>
      <c r="G10" s="123" t="str">
        <f t="shared" ref="G10:G31" si="1">IF($E10&lt;G$9,"",IF(AND(BI10&gt;0.6,BL10&lt;=8,BM10=BN10),"○","×")&amp;CHAR(10)&amp;"[P・Q]"&amp;CHAR(10)&amp;IF(BI10="","--",IF(BI10&gt;0.6,"○","×"))&amp;IF(BL10="","・--",IF(BL10&lt;=8,"・○","・×")))</f>
        <v>×
[P・Q]
○・×</v>
      </c>
      <c r="H10" s="123" t="str">
        <f t="shared" ref="H10:H31" si="2">IF($E10&lt;H$9,"",IF(AND(BS10&gt;0.6,BV10&lt;=8,BW10=BX10),"○","×")&amp;CHAR(10)&amp;"[P・Q]"&amp;CHAR(10)&amp;IF(BS10="","--",IF(BS10&gt;0.6,"○","×"))&amp;IF(BV10="","・--",IF(BV10&lt;=8,"・○","・×")))</f>
        <v>×
[P・Q]
○・×</v>
      </c>
      <c r="I10" s="123" t="str">
        <f t="shared" ref="I10:I31" si="3">IF($E10&lt;I$9,"",IF(AND(CC10&gt;0.6,CF10&lt;=8,CG10=CH10),"○","×")&amp;CHAR(10)&amp;"[P・Q]"&amp;CHAR(10)&amp;IF(CC10="","--",IF(CC10&gt;0.6,"○","×"))&amp;IF(CF10="","・--",IF(CF10&lt;=8,"・○","・×")))</f>
        <v>×
[P・Q]
○・×</v>
      </c>
      <c r="J10" s="123" t="str">
        <f t="shared" ref="J10:J16" si="4">IF($E10&lt;J$9,"",IF(AND(CM10&gt;0.6,CP10&lt;=8,CQ10=CR10),"○","×")&amp;CHAR(10)&amp;"[P・Q]"&amp;CHAR(10)&amp;IF(CM10="","--",IF(CM10&gt;0.6,"○","×"))&amp;IF(CP10="","・--",IF(CP10&lt;=8,"・○","・×")))</f>
        <v>○
[P・Q]
○・○</v>
      </c>
      <c r="K10" s="123" t="str">
        <f t="shared" ref="K10:K31" si="5">IF($E10&lt;K$9,"",IF(AND(CW10&gt;0.6,CZ10&lt;=8,DA10=DB10),"○","×")&amp;CHAR(10)&amp;"[P・Q]"&amp;CHAR(10)&amp;IF(CW10="","--",IF(CW10&gt;0.6,"○","×"))&amp;IF(DA10="","・--",IF(DA10&lt;=8,"・○","・×")))</f>
        <v/>
      </c>
      <c r="L10" s="123" t="str">
        <f t="shared" ref="L10:L31" si="6">IF($E10&lt;L$9,"",IF(AND(DG10&gt;0.6,DJ10&lt;=8,DK10=DL10),"○","×")&amp;CHAR(10)&amp;"[P・Q]"&amp;CHAR(10)&amp;IF(DG10="","--",IF(DG10&gt;0.6,"○","×"))&amp;IF(DJ10="","・--",IF(DJ10&lt;=8,"・○","・×")))</f>
        <v/>
      </c>
      <c r="M10" s="123" t="str">
        <f t="shared" ref="M10:M31" si="7">IF($E10&lt;M$9,"",IF(AND(DQ10&gt;0.6,DT10&lt;=8,DU10=DV10),"○","×")&amp;CHAR(10)&amp;"[P・Q]"&amp;CHAR(10)&amp;IF(DQ10="","--",IF(DQ10&gt;0.6,"○","×"))&amp;IF(DT10="","・--",IF(DT10&lt;=8,"・○","・×")))</f>
        <v/>
      </c>
      <c r="N10" s="123" t="str">
        <f t="shared" ref="N10:N31" si="8">IF($E10&lt;N$9,"",IF(AND(EA10&gt;0.6,ED10&lt;=8,EE10=EF10),"○","×")&amp;CHAR(10)&amp;"[P・Q]"&amp;CHAR(10)&amp;IF(EA10="","--",IF(EA10&gt;0.6,"○","×"))&amp;IF(ED10="","・--",IF(ED10&lt;=8,"・○","・×")))</f>
        <v/>
      </c>
      <c r="O10" s="123" t="str">
        <f t="shared" ref="O10:O31" si="9">IF($E10&lt;O$9,"",IF(AND(EK10&gt;0.6,EN10&lt;=8,EO10=EP10),"○","×")&amp;CHAR(10)&amp;"[P・Q]"&amp;CHAR(10)&amp;IF(EK10="","--",IF(EK10&gt;0.6,"○","×"))&amp;IF(EN10="","・--",IF(EN10&lt;=8,"・○","・×")))</f>
        <v/>
      </c>
      <c r="P10" s="123" t="str">
        <f t="shared" ref="P10:P31" si="10">IF($E10&lt;P$9,"",IF(AND(EU10&gt;0.6,EX10&lt;=8,EY10=EZ10),"○","×")&amp;CHAR(10)&amp;"[P・Q]"&amp;CHAR(10)&amp;IF(EU10="","--",IF(EU10&gt;0.6,"○","×"))&amp;IF(EX10="","・--",IF(EX10&lt;=8,"・○","・×")))</f>
        <v/>
      </c>
      <c r="Q10" s="123" t="str">
        <f t="shared" ref="Q10:Q31" si="11">IF($E10&lt;Q$9,"",IF(AND(FE10&gt;0.6,FH10&lt;=8,FI10=FJ10),"○","×")&amp;CHAR(10)&amp;"[P・Q]"&amp;CHAR(10)&amp;IF(FE10="","--",IF(FE10&gt;0.6,"○","×"))&amp;IF(FH10="","・--",IF(FH10&lt;=8,"・○","・×")))</f>
        <v/>
      </c>
      <c r="R10" s="76">
        <f t="shared" ref="R10:R31" si="12">COUNTIF(AU10:FJ10,"○")/E10</f>
        <v>1</v>
      </c>
      <c r="S10" s="28">
        <v>5</v>
      </c>
      <c r="T10" s="28">
        <v>5</v>
      </c>
      <c r="U10" s="28">
        <v>5</v>
      </c>
      <c r="V10" s="28">
        <v>5</v>
      </c>
      <c r="W10" s="77">
        <f t="shared" ref="W10:W31" si="13">((COUNTIF(AY10,"&gt;=0.6")+COUNTIF(BI10,"&gt;=0.6")+COUNTIF(BS10,"&gt;=0.6")+COUNTIF(CC10,"&gt;=0.6")+COUNTIF(CM10,"&gt;=0.6")+COUNTIF(CW10,"&gt;=0.6")+COUNTIF(DG10,"&gt;=0.6")+COUNTIF(DQ10,"&gt;=0.6")+COUNTIF(EA10,"&gt;=0.6")+COUNTIF(EK10,"&gt;=0.6")+COUNTIF(EU10,"&gt;=0.6")+COUNTIF(FE10,"&gt;=0.6"))*(75/(E10*2)))</f>
        <v>37.5</v>
      </c>
      <c r="X10" s="77">
        <f t="shared" ref="X10:X31" si="14">((COUNTIF(BB10,"&lt;=8")+COUNTIF(BL10,"&lt;=8")+COUNTIF(BV10,"&lt;=8")+COUNTIF(CF10,"&lt;=8")+COUNTIF(CP10,"&lt;=8")+COUNTIF(CZ10,"&lt;=8")+COUNTIF(DJ10,"&lt;=8")+COUNTIF(DT10,"&lt;=8")+COUNTIF(ED10,"&lt;=8")+COUNTIF(EN10,"&lt;=8")+COUNTIF(EX10,"&lt;=8")+COUNTIF(FH10,"&lt;=8"))*(75/(E10*2)))</f>
        <v>7.5</v>
      </c>
      <c r="Y10" s="77" cm="1">
        <f t="array" ref="Y10">_xlfn.IFS(R10&gt;=0.8,5,R10&gt;=0.6,3,R10&gt;=0.2,1,R10&lt;0.2,0)</f>
        <v>5</v>
      </c>
      <c r="Z10" s="55">
        <f>SUM(S10:Y10)</f>
        <v>70</v>
      </c>
      <c r="AA10" s="228" t="s">
        <v>1316</v>
      </c>
      <c r="AB10" s="5" t="s">
        <v>1317</v>
      </c>
      <c r="AC10" s="186" t="s">
        <v>226</v>
      </c>
      <c r="AD10" s="5" t="s">
        <v>1318</v>
      </c>
      <c r="AE10" s="80" t="s">
        <v>174</v>
      </c>
      <c r="AF10" s="142" t="s">
        <v>1319</v>
      </c>
      <c r="AG10" s="142"/>
      <c r="AH10" s="208">
        <f t="shared" ref="AH10:AH17" si="15">IFERROR(AVERAGE(AY10,BI10,BS10,CC10,CM10)," ")</f>
        <v>0.68978599554870734</v>
      </c>
      <c r="AI10" s="209">
        <f t="shared" ref="AI10:AI17" si="16">IFERROR(AVERAGE(BB10,BL10,BV10,CF10,CP10)," ")</f>
        <v>46.980108838312901</v>
      </c>
      <c r="AJ10" s="80" t="str">
        <f t="shared" ref="AJ10:AJ17" si="17">IFERROR(IF(AH10&gt;=0.6,"HIGH","LOW"),"")</f>
        <v>HIGH</v>
      </c>
      <c r="AK10" s="80" t="str">
        <f t="shared" ref="AK10:AK17" si="18">IFERROR(IF(AI10&lt;=8,"HIGH","LOW"),"")</f>
        <v>LOW</v>
      </c>
      <c r="AL10" s="236" t="s">
        <v>1320</v>
      </c>
      <c r="AM10" s="217" t="s">
        <v>1321</v>
      </c>
      <c r="AN10" s="126" t="str">
        <f>IF(AND(Z10&gt;Summary!$C$5, Z10&lt;=Summary!$D$5),Summary!$B$5,IF(AND(Z10&gt;Summary!$C$6, Z10&lt;=Summary!$D$6),Summary!$B$6,IF(AND(Z10&gt;Summary!$C$7, Z10&lt;=Summary!$D$7),Summary!$B$7,Summary!$B$8)))</f>
        <v>○</v>
      </c>
      <c r="AO10" s="14" t="s">
        <v>168</v>
      </c>
      <c r="AP10" s="151"/>
      <c r="AQ10" s="151" t="s">
        <v>168</v>
      </c>
      <c r="AR10" s="151"/>
      <c r="AS10" s="151"/>
      <c r="AT10" s="5" t="s">
        <v>1322</v>
      </c>
      <c r="AU10" s="36" t="s">
        <v>1323</v>
      </c>
      <c r="AV10" s="4" t="s">
        <v>168</v>
      </c>
      <c r="AW10" s="6">
        <f>1.4*8</f>
        <v>11.2</v>
      </c>
      <c r="AX10" s="6">
        <v>17.7</v>
      </c>
      <c r="AY10" s="33">
        <f>IF(AX10="","",AW10/AX10)</f>
        <v>0.63276836158192085</v>
      </c>
      <c r="AZ10" s="42">
        <v>7.6999999999999999E-2</v>
      </c>
      <c r="BA10" s="3">
        <v>8</v>
      </c>
      <c r="BB10" s="37">
        <f>IF(BA10="","",BA10/AZ10)</f>
        <v>103.8961038961039</v>
      </c>
      <c r="BC10" s="3">
        <v>8</v>
      </c>
      <c r="BD10" s="3">
        <v>8</v>
      </c>
      <c r="BE10" s="36" t="s">
        <v>1324</v>
      </c>
      <c r="BF10" s="4" t="s">
        <v>168</v>
      </c>
      <c r="BG10" s="6">
        <v>16</v>
      </c>
      <c r="BH10" s="6">
        <v>22</v>
      </c>
      <c r="BI10" s="33">
        <f>IF(BH10="","",BG10/BH10)</f>
        <v>0.72727272727272729</v>
      </c>
      <c r="BJ10" s="42">
        <v>9.9000000000000005E-2</v>
      </c>
      <c r="BK10" s="3">
        <v>1</v>
      </c>
      <c r="BL10" s="37">
        <f>IF(BK10="","",BK10/BJ10)</f>
        <v>10.1010101010101</v>
      </c>
      <c r="BM10" s="3">
        <v>1</v>
      </c>
      <c r="BN10" s="3">
        <v>1</v>
      </c>
      <c r="BO10" s="36" t="s">
        <v>1325</v>
      </c>
      <c r="BP10" s="4" t="s">
        <v>168</v>
      </c>
      <c r="BQ10" s="6">
        <v>16</v>
      </c>
      <c r="BR10" s="6">
        <v>24</v>
      </c>
      <c r="BS10" s="33">
        <f>IF(BR10="","",BQ10/BR10)</f>
        <v>0.66666666666666663</v>
      </c>
      <c r="BT10" s="42">
        <v>0.19900000000000001</v>
      </c>
      <c r="BU10" s="3">
        <v>10</v>
      </c>
      <c r="BV10" s="37">
        <f>IF(BU10="","",BU10/BT10)</f>
        <v>50.251256281407031</v>
      </c>
      <c r="BW10" s="3">
        <v>10</v>
      </c>
      <c r="BX10" s="3">
        <v>10</v>
      </c>
      <c r="BY10" s="36" t="s">
        <v>1326</v>
      </c>
      <c r="BZ10" s="4" t="s">
        <v>168</v>
      </c>
      <c r="CA10" s="6">
        <v>19.2</v>
      </c>
      <c r="CB10" s="6">
        <v>24</v>
      </c>
      <c r="CC10" s="33">
        <f>IF(CB10="","",CA10/CB10)</f>
        <v>0.79999999999999993</v>
      </c>
      <c r="CD10" s="42">
        <v>0.184</v>
      </c>
      <c r="CE10" s="3">
        <v>13</v>
      </c>
      <c r="CF10" s="37">
        <f>IF(CE10="","",CE10/CD10)</f>
        <v>70.652173913043484</v>
      </c>
      <c r="CG10" s="3">
        <v>13</v>
      </c>
      <c r="CH10" s="3">
        <v>13</v>
      </c>
      <c r="CI10" s="36" t="s">
        <v>1327</v>
      </c>
      <c r="CJ10" s="4" t="s">
        <v>168</v>
      </c>
      <c r="CK10" s="6">
        <v>11.2</v>
      </c>
      <c r="CL10" s="6">
        <v>18</v>
      </c>
      <c r="CM10" s="33">
        <f>IF(CL10="","",CK10/CL10)</f>
        <v>0.62222222222222223</v>
      </c>
      <c r="CN10" s="42">
        <v>8.7999999999999995E-2</v>
      </c>
      <c r="CO10" s="3">
        <v>0</v>
      </c>
      <c r="CP10" s="37">
        <f>IF(CO10="","",CO10/CN10)</f>
        <v>0</v>
      </c>
      <c r="CQ10" s="3">
        <v>0</v>
      </c>
      <c r="CR10" s="3">
        <v>0</v>
      </c>
      <c r="CS10" s="36"/>
      <c r="CT10" s="4"/>
      <c r="CU10" s="6"/>
      <c r="CV10" s="6"/>
      <c r="CW10" s="33" t="str">
        <f>IF(CV10="","",CU10/CV10)</f>
        <v/>
      </c>
      <c r="CX10" s="42"/>
      <c r="CY10" s="3"/>
      <c r="CZ10" s="37" t="str">
        <f>IF(CY10="","",CY10/CX10)</f>
        <v/>
      </c>
      <c r="DA10" s="3"/>
      <c r="DB10" s="3"/>
      <c r="DC10" s="36"/>
      <c r="DD10" s="4"/>
      <c r="DE10" s="6"/>
      <c r="DF10" s="6"/>
      <c r="DG10" s="33" t="str">
        <f>IF(DF10="","",DE10/DF10)</f>
        <v/>
      </c>
      <c r="DH10" s="42"/>
      <c r="DI10" s="3"/>
      <c r="DJ10" s="37" t="str">
        <f>IF(DI10="","",DI10/DH10)</f>
        <v/>
      </c>
      <c r="DK10" s="3"/>
      <c r="DL10" s="3"/>
      <c r="DM10" s="36"/>
      <c r="DN10" s="4"/>
      <c r="DO10" s="6"/>
      <c r="DP10" s="6"/>
      <c r="DQ10" s="33" t="str">
        <f>IF(DP10="","",DO10/DP10)</f>
        <v/>
      </c>
      <c r="DR10" s="42"/>
      <c r="DS10" s="3"/>
      <c r="DT10" s="37" t="str">
        <f>IF(DS10="","",DS10/DR10)</f>
        <v/>
      </c>
      <c r="DU10" s="3"/>
      <c r="DV10" s="3"/>
      <c r="DW10" s="36"/>
      <c r="DX10" s="4"/>
      <c r="DY10" s="6"/>
      <c r="DZ10" s="6"/>
      <c r="EA10" s="33" t="str">
        <f>IF(DZ10="","",DY10/DZ10)</f>
        <v/>
      </c>
      <c r="EB10" s="42"/>
      <c r="EC10" s="3"/>
      <c r="ED10" s="37" t="str">
        <f>IF(EC10="","",EC10/EB10)</f>
        <v/>
      </c>
      <c r="EE10" s="3"/>
      <c r="EF10" s="3"/>
      <c r="EG10" s="36"/>
      <c r="EH10" s="4"/>
      <c r="EI10" s="6"/>
      <c r="EJ10" s="6"/>
      <c r="EK10" s="33" t="str">
        <f>IF(EJ10="","",EI10/EJ10)</f>
        <v/>
      </c>
      <c r="EL10" s="42"/>
      <c r="EM10" s="3"/>
      <c r="EN10" s="37" t="str">
        <f>IF(EM10="","",EM10/EL10)</f>
        <v/>
      </c>
      <c r="EO10" s="3"/>
      <c r="EP10" s="3"/>
      <c r="EQ10" s="36"/>
      <c r="ER10" s="4"/>
      <c r="ES10" s="6"/>
      <c r="ET10" s="6"/>
      <c r="EU10" s="33" t="str">
        <f>IF(ET10="","",ES10/ET10)</f>
        <v/>
      </c>
      <c r="EV10" s="42"/>
      <c r="EW10" s="3"/>
      <c r="EX10" s="37" t="str">
        <f>IF(EW10="","",EW10/EV10)</f>
        <v/>
      </c>
      <c r="EY10" s="3"/>
      <c r="EZ10" s="3"/>
      <c r="FA10" s="36"/>
      <c r="FB10" s="4"/>
      <c r="FC10" s="6"/>
      <c r="FD10" s="6"/>
      <c r="FE10" s="33" t="str">
        <f>IF(FD10="","",FC10/FD10)</f>
        <v/>
      </c>
      <c r="FF10" s="42"/>
      <c r="FG10" s="3"/>
      <c r="FH10" s="37" t="str">
        <f>IF(FG10="","",FG10/FF10)</f>
        <v/>
      </c>
      <c r="FI10" s="3"/>
      <c r="FJ10" s="3"/>
    </row>
    <row r="11" spans="2:166" ht="99" customHeight="1">
      <c r="B11" s="27" t="s">
        <v>1328</v>
      </c>
      <c r="C11" s="27" t="s">
        <v>1329</v>
      </c>
      <c r="D11" s="27" t="s">
        <v>313</v>
      </c>
      <c r="E11" s="28">
        <v>2</v>
      </c>
      <c r="F11" s="123" t="str">
        <f t="shared" si="0"/>
        <v>×
[P・Q]
○・×</v>
      </c>
      <c r="G11" s="123" t="str">
        <f t="shared" si="1"/>
        <v>×
[P・Q]
○・×</v>
      </c>
      <c r="H11" s="123" t="str">
        <f t="shared" si="2"/>
        <v/>
      </c>
      <c r="I11" s="123" t="str">
        <f t="shared" si="3"/>
        <v/>
      </c>
      <c r="J11" s="123" t="str">
        <f t="shared" si="4"/>
        <v/>
      </c>
      <c r="K11" s="123" t="str">
        <f t="shared" si="5"/>
        <v/>
      </c>
      <c r="L11" s="123" t="str">
        <f t="shared" si="6"/>
        <v/>
      </c>
      <c r="M11" s="123" t="str">
        <f t="shared" si="7"/>
        <v/>
      </c>
      <c r="N11" s="123" t="str">
        <f t="shared" si="8"/>
        <v/>
      </c>
      <c r="O11" s="123" t="str">
        <f t="shared" si="9"/>
        <v/>
      </c>
      <c r="P11" s="123" t="str">
        <f t="shared" si="10"/>
        <v/>
      </c>
      <c r="Q11" s="123" t="str">
        <f t="shared" si="11"/>
        <v/>
      </c>
      <c r="R11" s="76">
        <f t="shared" si="12"/>
        <v>1</v>
      </c>
      <c r="S11" s="28">
        <v>5</v>
      </c>
      <c r="T11" s="28">
        <v>5</v>
      </c>
      <c r="U11" s="28">
        <v>5</v>
      </c>
      <c r="V11" s="28">
        <v>5</v>
      </c>
      <c r="W11" s="77">
        <f t="shared" si="13"/>
        <v>37.5</v>
      </c>
      <c r="X11" s="77">
        <f t="shared" si="14"/>
        <v>0</v>
      </c>
      <c r="Y11" s="77" cm="1">
        <f t="array" ref="Y11">_xlfn.IFS(R11&gt;=0.8,5,R11&gt;=0.6,3,R11&gt;=0.2,1,R11&lt;0.2,0)</f>
        <v>5</v>
      </c>
      <c r="Z11" s="55">
        <f>SUM(S11:Y11)</f>
        <v>62.5</v>
      </c>
      <c r="AA11" s="228" t="s">
        <v>1330</v>
      </c>
      <c r="AB11" s="5" t="s">
        <v>1331</v>
      </c>
      <c r="AC11" s="80" t="s">
        <v>226</v>
      </c>
      <c r="AD11" s="5" t="s">
        <v>1332</v>
      </c>
      <c r="AE11" s="80" t="s">
        <v>174</v>
      </c>
      <c r="AF11" s="5" t="s">
        <v>1333</v>
      </c>
      <c r="AG11" s="5"/>
      <c r="AH11" s="208">
        <f t="shared" si="15"/>
        <v>0.7568567026194144</v>
      </c>
      <c r="AI11" s="209">
        <f t="shared" si="16"/>
        <v>25.409530900967983</v>
      </c>
      <c r="AJ11" s="80" t="str">
        <f t="shared" si="17"/>
        <v>HIGH</v>
      </c>
      <c r="AK11" s="80" t="str">
        <f t="shared" si="18"/>
        <v>LOW</v>
      </c>
      <c r="AL11" s="236" t="s">
        <v>1334</v>
      </c>
      <c r="AM11" s="217" t="s">
        <v>1321</v>
      </c>
      <c r="AN11" s="126" t="str">
        <f>IF(AND(Z11&gt;Summary!$C$5, Z11&lt;=Summary!$D$5),Summary!$B$5,IF(AND(Z11&gt;Summary!$C$6, Z11&lt;=Summary!$D$6),Summary!$B$6,IF(AND(Z11&gt;Summary!$C$7, Z11&lt;=Summary!$D$7),Summary!$B$7,Summary!$B$8)))</f>
        <v>○</v>
      </c>
      <c r="AO11" s="14" t="s">
        <v>168</v>
      </c>
      <c r="AP11" s="14"/>
      <c r="AQ11" s="14" t="s">
        <v>168</v>
      </c>
      <c r="AR11" s="14"/>
      <c r="AS11" s="14"/>
      <c r="AT11" s="5" t="s">
        <v>1322</v>
      </c>
      <c r="AU11" s="36" t="s">
        <v>1335</v>
      </c>
      <c r="AV11" s="4" t="s">
        <v>168</v>
      </c>
      <c r="AW11" s="6">
        <v>23.2</v>
      </c>
      <c r="AX11" s="6">
        <v>29.5</v>
      </c>
      <c r="AY11" s="33">
        <f t="shared" ref="AY11:AY31" si="19">IF(AX11="","",AW11/AX11)</f>
        <v>0.78644067796610162</v>
      </c>
      <c r="AZ11" s="42">
        <v>0.94799999999999995</v>
      </c>
      <c r="BA11" s="3">
        <v>11</v>
      </c>
      <c r="BB11" s="37">
        <f>IF(BA11="","",BA11/AZ11)</f>
        <v>11.603375527426161</v>
      </c>
      <c r="BC11" s="3">
        <v>11</v>
      </c>
      <c r="BD11" s="3">
        <v>11</v>
      </c>
      <c r="BE11" s="36" t="s">
        <v>1336</v>
      </c>
      <c r="BF11" s="4" t="s">
        <v>168</v>
      </c>
      <c r="BG11" s="6">
        <v>16</v>
      </c>
      <c r="BH11" s="6">
        <v>22</v>
      </c>
      <c r="BI11" s="33">
        <f t="shared" ref="BI11:BI31" si="20">IF(BH11="","",BG11/BH11)</f>
        <v>0.72727272727272729</v>
      </c>
      <c r="BJ11" s="42">
        <v>0.35699999999999998</v>
      </c>
      <c r="BK11" s="3">
        <v>14</v>
      </c>
      <c r="BL11" s="37">
        <f t="shared" ref="BL11:BL31" si="21">IF(BK11="","",BK11/BJ11)</f>
        <v>39.215686274509807</v>
      </c>
      <c r="BM11" s="3">
        <v>14</v>
      </c>
      <c r="BN11" s="3">
        <v>14</v>
      </c>
      <c r="BO11" s="36"/>
      <c r="BP11" s="4"/>
      <c r="BQ11" s="6"/>
      <c r="BR11" s="6"/>
      <c r="BS11" s="33" t="str">
        <f t="shared" ref="BS11:BS31" si="22">IF(BR11="","",BQ11/BR11)</f>
        <v/>
      </c>
      <c r="BT11" s="42"/>
      <c r="BU11" s="3"/>
      <c r="BV11" s="37" t="str">
        <f t="shared" ref="BV11:BV31" si="23">IF(BU11="","",BU11/BT11)</f>
        <v/>
      </c>
      <c r="BW11" s="3"/>
      <c r="BX11" s="3"/>
      <c r="BY11" s="36"/>
      <c r="BZ11" s="4"/>
      <c r="CA11" s="6"/>
      <c r="CB11" s="6"/>
      <c r="CC11" s="33" t="str">
        <f t="shared" ref="CC11:CC31" si="24">IF(CB11="","",CA11/CB11)</f>
        <v/>
      </c>
      <c r="CD11" s="42"/>
      <c r="CE11" s="3"/>
      <c r="CF11" s="37" t="str">
        <f t="shared" ref="CF11:CF31" si="25">IF(CE11="","",CE11/CD11)</f>
        <v/>
      </c>
      <c r="CG11" s="3"/>
      <c r="CH11" s="3"/>
      <c r="CI11" s="36"/>
      <c r="CJ11" s="4"/>
      <c r="CK11" s="6"/>
      <c r="CL11" s="6"/>
      <c r="CM11" s="33" t="str">
        <f t="shared" ref="CM11:CM31" si="26">IF(CL11="","",CK11/CL11)</f>
        <v/>
      </c>
      <c r="CN11" s="42"/>
      <c r="CO11" s="3"/>
      <c r="CP11" s="37" t="str">
        <f t="shared" ref="CP11:CP31" si="27">IF(CO11="","",CO11/CN11)</f>
        <v/>
      </c>
      <c r="CQ11" s="3"/>
      <c r="CR11" s="3"/>
      <c r="CS11" s="36"/>
      <c r="CT11" s="4"/>
      <c r="CU11" s="6"/>
      <c r="CV11" s="6"/>
      <c r="CW11" s="33" t="str">
        <f t="shared" ref="CW11:CW31" si="28">IF(CV11="","",CU11/CV11)</f>
        <v/>
      </c>
      <c r="CX11" s="42"/>
      <c r="CY11" s="3"/>
      <c r="CZ11" s="37" t="str">
        <f t="shared" ref="CZ11:CZ31" si="29">IF(CY11="","",CY11/CX11)</f>
        <v/>
      </c>
      <c r="DA11" s="3"/>
      <c r="DB11" s="3"/>
      <c r="DC11" s="36"/>
      <c r="DD11" s="4"/>
      <c r="DE11" s="6"/>
      <c r="DF11" s="6"/>
      <c r="DG11" s="33" t="str">
        <f t="shared" ref="DG11:DG31" si="30">IF(DF11="","",DE11/DF11)</f>
        <v/>
      </c>
      <c r="DH11" s="42"/>
      <c r="DI11" s="3"/>
      <c r="DJ11" s="37" t="str">
        <f t="shared" ref="DJ11:DJ31" si="31">IF(DI11="","",DI11/DH11)</f>
        <v/>
      </c>
      <c r="DK11" s="3"/>
      <c r="DL11" s="3"/>
      <c r="DM11" s="36"/>
      <c r="DN11" s="4"/>
      <c r="DO11" s="6"/>
      <c r="DP11" s="6"/>
      <c r="DQ11" s="33" t="str">
        <f t="shared" ref="DQ11:DQ31" si="32">IF(DP11="","",DO11/DP11)</f>
        <v/>
      </c>
      <c r="DR11" s="42"/>
      <c r="DS11" s="3"/>
      <c r="DT11" s="37" t="str">
        <f t="shared" ref="DT11:DT31" si="33">IF(DS11="","",DS11/DR11)</f>
        <v/>
      </c>
      <c r="DU11" s="3"/>
      <c r="DV11" s="3"/>
      <c r="DW11" s="36"/>
      <c r="DX11" s="4"/>
      <c r="DY11" s="6"/>
      <c r="DZ11" s="6"/>
      <c r="EA11" s="33" t="str">
        <f t="shared" ref="EA11:EA31" si="34">IF(DZ11="","",DY11/DZ11)</f>
        <v/>
      </c>
      <c r="EB11" s="42"/>
      <c r="EC11" s="3"/>
      <c r="ED11" s="37" t="str">
        <f t="shared" ref="ED11:ED31" si="35">IF(EC11="","",EC11/EB11)</f>
        <v/>
      </c>
      <c r="EE11" s="3"/>
      <c r="EF11" s="3"/>
      <c r="EG11" s="36"/>
      <c r="EH11" s="4"/>
      <c r="EI11" s="6"/>
      <c r="EJ11" s="6"/>
      <c r="EK11" s="33" t="str">
        <f t="shared" ref="EK11:EK31" si="36">IF(EJ11="","",EI11/EJ11)</f>
        <v/>
      </c>
      <c r="EL11" s="42"/>
      <c r="EM11" s="3"/>
      <c r="EN11" s="37" t="str">
        <f t="shared" ref="EN11:EN31" si="37">IF(EM11="","",EM11/EL11)</f>
        <v/>
      </c>
      <c r="EO11" s="3"/>
      <c r="EP11" s="3"/>
      <c r="EQ11" s="36"/>
      <c r="ER11" s="4"/>
      <c r="ES11" s="6"/>
      <c r="ET11" s="6"/>
      <c r="EU11" s="33" t="str">
        <f t="shared" ref="EU11:EU31" si="38">IF(ET11="","",ES11/ET11)</f>
        <v/>
      </c>
      <c r="EV11" s="42"/>
      <c r="EW11" s="3"/>
      <c r="EX11" s="37" t="str">
        <f t="shared" ref="EX11:EX31" si="39">IF(EW11="","",EW11/EV11)</f>
        <v/>
      </c>
      <c r="EY11" s="3"/>
      <c r="EZ11" s="3"/>
      <c r="FA11" s="36"/>
      <c r="FB11" s="4"/>
      <c r="FC11" s="6"/>
      <c r="FD11" s="6"/>
      <c r="FE11" s="33" t="str">
        <f t="shared" ref="FE11:FE31" si="40">IF(FD11="","",FC11/FD11)</f>
        <v/>
      </c>
      <c r="FF11" s="42"/>
      <c r="FG11" s="3"/>
      <c r="FH11" s="37" t="str">
        <f t="shared" ref="FH11:FH31" si="41">IF(FG11="","",FG11/FF11)</f>
        <v/>
      </c>
      <c r="FI11" s="3"/>
      <c r="FJ11" s="3"/>
    </row>
    <row r="12" spans="2:166" ht="116.25" customHeight="1">
      <c r="B12" s="27" t="s">
        <v>1337</v>
      </c>
      <c r="C12" s="27" t="s">
        <v>223</v>
      </c>
      <c r="D12" s="27" t="s">
        <v>313</v>
      </c>
      <c r="E12" s="28">
        <v>4</v>
      </c>
      <c r="F12" s="123" t="str">
        <f t="shared" si="0"/>
        <v>×
[P・Q]
--・--</v>
      </c>
      <c r="G12" s="123" t="str">
        <f t="shared" si="1"/>
        <v>×
[P・Q]
--・--</v>
      </c>
      <c r="H12" s="123" t="str">
        <f t="shared" si="2"/>
        <v>×
[P・Q]
--・--</v>
      </c>
      <c r="I12" s="123" t="str">
        <f t="shared" si="3"/>
        <v>×
[P・Q]
--・--</v>
      </c>
      <c r="J12" s="123" t="str">
        <f t="shared" si="4"/>
        <v/>
      </c>
      <c r="K12" s="123" t="str">
        <f t="shared" si="5"/>
        <v/>
      </c>
      <c r="L12" s="123" t="str">
        <f t="shared" si="6"/>
        <v/>
      </c>
      <c r="M12" s="123" t="str">
        <f t="shared" si="7"/>
        <v/>
      </c>
      <c r="N12" s="123" t="str">
        <f t="shared" si="8"/>
        <v/>
      </c>
      <c r="O12" s="123" t="str">
        <f t="shared" si="9"/>
        <v/>
      </c>
      <c r="P12" s="123" t="str">
        <f t="shared" si="10"/>
        <v/>
      </c>
      <c r="Q12" s="123" t="str">
        <f t="shared" si="11"/>
        <v/>
      </c>
      <c r="R12" s="76">
        <f t="shared" si="12"/>
        <v>0</v>
      </c>
      <c r="S12" s="28">
        <v>5</v>
      </c>
      <c r="T12" s="28">
        <v>5</v>
      </c>
      <c r="U12" s="28">
        <v>3</v>
      </c>
      <c r="V12" s="28">
        <v>3</v>
      </c>
      <c r="W12" s="77">
        <f t="shared" si="13"/>
        <v>0</v>
      </c>
      <c r="X12" s="77">
        <f t="shared" si="14"/>
        <v>0</v>
      </c>
      <c r="Y12" s="77" cm="1">
        <f t="array" ref="Y12">_xlfn.IFS(R12&gt;=0.8,5,R12&gt;=0.6,3,R12&gt;=0.2,1,R12&lt;0.2,0)</f>
        <v>0</v>
      </c>
      <c r="Z12" s="55">
        <f t="shared" ref="Z12:Z25" si="42">SUM(S12:Y12)</f>
        <v>16</v>
      </c>
      <c r="AA12" s="228" t="s">
        <v>1338</v>
      </c>
      <c r="AB12" s="5" t="s">
        <v>1339</v>
      </c>
      <c r="AC12" s="5"/>
      <c r="AD12" s="5"/>
      <c r="AE12" s="5"/>
      <c r="AF12" s="5"/>
      <c r="AG12" s="5"/>
      <c r="AH12" s="208" t="str">
        <f t="shared" si="15"/>
        <v xml:space="preserve"> </v>
      </c>
      <c r="AI12" s="209" t="str">
        <f t="shared" si="16"/>
        <v xml:space="preserve"> </v>
      </c>
      <c r="AJ12" s="80" t="str">
        <f t="shared" si="17"/>
        <v>HIGH</v>
      </c>
      <c r="AK12" s="80" t="str">
        <f t="shared" si="18"/>
        <v>LOW</v>
      </c>
      <c r="AL12" s="5"/>
      <c r="AM12" s="5"/>
      <c r="AN12" s="126" t="str">
        <f>IF(AND(Z12&gt;Summary!$C$5, Z12&lt;=Summary!$D$5),Summary!$B$5,IF(AND(Z12&gt;Summary!$C$6, Z12&lt;=Summary!$D$6),Summary!$B$6,IF(AND(Z12&gt;Summary!$C$7, Z12&lt;=Summary!$D$7),Summary!$B$7,Summary!$B$8)))</f>
        <v>×</v>
      </c>
      <c r="AO12" s="14" t="s">
        <v>178</v>
      </c>
      <c r="AP12" s="14" t="s">
        <v>168</v>
      </c>
      <c r="AQ12" s="14"/>
      <c r="AR12" s="14"/>
      <c r="AS12" s="14"/>
      <c r="AT12" s="5" t="s">
        <v>1340</v>
      </c>
      <c r="AU12" s="36" t="s">
        <v>1341</v>
      </c>
      <c r="AV12" s="4"/>
      <c r="AW12" s="6">
        <v>56.8</v>
      </c>
      <c r="AX12" s="6"/>
      <c r="AY12" s="33" t="str">
        <f t="shared" si="19"/>
        <v/>
      </c>
      <c r="AZ12" s="42"/>
      <c r="BA12" s="3"/>
      <c r="BB12" s="37" t="str">
        <f t="shared" ref="BB12:BB31" si="43">IF(BA12="","",BA12/AZ12)</f>
        <v/>
      </c>
      <c r="BC12" s="3"/>
      <c r="BD12" s="3"/>
      <c r="BE12" s="36" t="s">
        <v>1342</v>
      </c>
      <c r="BF12" s="4"/>
      <c r="BG12" s="6">
        <v>36</v>
      </c>
      <c r="BH12" s="6"/>
      <c r="BI12" s="33" t="str">
        <f t="shared" si="20"/>
        <v/>
      </c>
      <c r="BJ12" s="42"/>
      <c r="BK12" s="3"/>
      <c r="BL12" s="37" t="str">
        <f t="shared" si="21"/>
        <v/>
      </c>
      <c r="BM12" s="3"/>
      <c r="BN12" s="3"/>
      <c r="BO12" s="36" t="s">
        <v>1343</v>
      </c>
      <c r="BP12" s="4"/>
      <c r="BQ12" s="6">
        <v>23.2</v>
      </c>
      <c r="BR12" s="6"/>
      <c r="BS12" s="33" t="str">
        <f t="shared" si="22"/>
        <v/>
      </c>
      <c r="BT12" s="42"/>
      <c r="BU12" s="3"/>
      <c r="BV12" s="37" t="str">
        <f t="shared" si="23"/>
        <v/>
      </c>
      <c r="BW12" s="3"/>
      <c r="BX12" s="3"/>
      <c r="BY12" s="36" t="s">
        <v>1344</v>
      </c>
      <c r="BZ12" s="4"/>
      <c r="CA12" s="6">
        <v>26.4</v>
      </c>
      <c r="CB12" s="6"/>
      <c r="CC12" s="33" t="str">
        <f t="shared" si="24"/>
        <v/>
      </c>
      <c r="CD12" s="42"/>
      <c r="CE12" s="3"/>
      <c r="CF12" s="37" t="str">
        <f t="shared" si="25"/>
        <v/>
      </c>
      <c r="CG12" s="3"/>
      <c r="CH12" s="3"/>
      <c r="CI12" s="36"/>
      <c r="CJ12" s="4"/>
      <c r="CK12" s="6"/>
      <c r="CL12" s="6"/>
      <c r="CM12" s="33" t="str">
        <f t="shared" si="26"/>
        <v/>
      </c>
      <c r="CN12" s="42"/>
      <c r="CO12" s="3"/>
      <c r="CP12" s="37" t="str">
        <f t="shared" si="27"/>
        <v/>
      </c>
      <c r="CQ12" s="3"/>
      <c r="CR12" s="3"/>
      <c r="CS12" s="36"/>
      <c r="CT12" s="4"/>
      <c r="CU12" s="6"/>
      <c r="CV12" s="6"/>
      <c r="CW12" s="33" t="str">
        <f t="shared" si="28"/>
        <v/>
      </c>
      <c r="CX12" s="42"/>
      <c r="CY12" s="3"/>
      <c r="CZ12" s="37" t="str">
        <f t="shared" si="29"/>
        <v/>
      </c>
      <c r="DA12" s="3"/>
      <c r="DB12" s="3"/>
      <c r="DC12" s="36"/>
      <c r="DD12" s="4"/>
      <c r="DE12" s="6"/>
      <c r="DF12" s="6"/>
      <c r="DG12" s="33" t="str">
        <f t="shared" si="30"/>
        <v/>
      </c>
      <c r="DH12" s="42"/>
      <c r="DI12" s="3"/>
      <c r="DJ12" s="37" t="str">
        <f t="shared" si="31"/>
        <v/>
      </c>
      <c r="DK12" s="3"/>
      <c r="DL12" s="3"/>
      <c r="DM12" s="36"/>
      <c r="DN12" s="4"/>
      <c r="DO12" s="6"/>
      <c r="DP12" s="6"/>
      <c r="DQ12" s="33" t="str">
        <f t="shared" si="32"/>
        <v/>
      </c>
      <c r="DR12" s="42"/>
      <c r="DS12" s="3"/>
      <c r="DT12" s="37" t="str">
        <f t="shared" si="33"/>
        <v/>
      </c>
      <c r="DU12" s="3"/>
      <c r="DV12" s="3"/>
      <c r="DW12" s="36"/>
      <c r="DX12" s="4"/>
      <c r="DY12" s="6"/>
      <c r="DZ12" s="6"/>
      <c r="EA12" s="33" t="str">
        <f t="shared" si="34"/>
        <v/>
      </c>
      <c r="EB12" s="42"/>
      <c r="EC12" s="3"/>
      <c r="ED12" s="37" t="str">
        <f t="shared" si="35"/>
        <v/>
      </c>
      <c r="EE12" s="3"/>
      <c r="EF12" s="3"/>
      <c r="EG12" s="36"/>
      <c r="EH12" s="4"/>
      <c r="EI12" s="6"/>
      <c r="EJ12" s="6"/>
      <c r="EK12" s="33" t="str">
        <f t="shared" si="36"/>
        <v/>
      </c>
      <c r="EL12" s="42"/>
      <c r="EM12" s="3"/>
      <c r="EN12" s="37" t="str">
        <f t="shared" si="37"/>
        <v/>
      </c>
      <c r="EO12" s="3"/>
      <c r="EP12" s="3"/>
      <c r="EQ12" s="36"/>
      <c r="ER12" s="4"/>
      <c r="ES12" s="6"/>
      <c r="ET12" s="6"/>
      <c r="EU12" s="33" t="str">
        <f t="shared" si="38"/>
        <v/>
      </c>
      <c r="EV12" s="42"/>
      <c r="EW12" s="3"/>
      <c r="EX12" s="37" t="str">
        <f t="shared" si="39"/>
        <v/>
      </c>
      <c r="EY12" s="3"/>
      <c r="EZ12" s="3"/>
      <c r="FA12" s="36"/>
      <c r="FB12" s="4"/>
      <c r="FC12" s="6"/>
      <c r="FD12" s="6"/>
      <c r="FE12" s="33" t="str">
        <f t="shared" si="40"/>
        <v/>
      </c>
      <c r="FF12" s="42"/>
      <c r="FG12" s="3"/>
      <c r="FH12" s="37" t="str">
        <f t="shared" si="41"/>
        <v/>
      </c>
      <c r="FI12" s="3"/>
      <c r="FJ12" s="3"/>
    </row>
    <row r="13" spans="2:166" ht="90.95">
      <c r="B13" s="27" t="s">
        <v>1345</v>
      </c>
      <c r="C13" s="27" t="s">
        <v>1315</v>
      </c>
      <c r="D13" s="27" t="s">
        <v>313</v>
      </c>
      <c r="E13" s="28">
        <v>4</v>
      </c>
      <c r="F13" s="123" t="str">
        <f t="shared" si="0"/>
        <v>×
[P・Q]
○・×</v>
      </c>
      <c r="G13" s="123" t="str">
        <f t="shared" si="1"/>
        <v>×
[P・Q]
○・×</v>
      </c>
      <c r="H13" s="123" t="str">
        <f t="shared" si="2"/>
        <v>×
[P・Q]
○・×</v>
      </c>
      <c r="I13" s="123" t="str">
        <f t="shared" si="3"/>
        <v>×
[P・Q]
○・×</v>
      </c>
      <c r="J13" s="123" t="str">
        <f t="shared" si="4"/>
        <v/>
      </c>
      <c r="K13" s="123" t="str">
        <f t="shared" si="5"/>
        <v/>
      </c>
      <c r="L13" s="123" t="str">
        <f t="shared" si="6"/>
        <v/>
      </c>
      <c r="M13" s="123" t="str">
        <f t="shared" si="7"/>
        <v/>
      </c>
      <c r="N13" s="123" t="str">
        <f t="shared" si="8"/>
        <v/>
      </c>
      <c r="O13" s="123" t="str">
        <f t="shared" si="9"/>
        <v/>
      </c>
      <c r="P13" s="123" t="str">
        <f t="shared" si="10"/>
        <v/>
      </c>
      <c r="Q13" s="123" t="str">
        <f t="shared" si="11"/>
        <v/>
      </c>
      <c r="R13" s="76">
        <f t="shared" si="12"/>
        <v>1</v>
      </c>
      <c r="S13" s="28">
        <v>5</v>
      </c>
      <c r="T13" s="28">
        <v>5</v>
      </c>
      <c r="U13" s="28">
        <v>5</v>
      </c>
      <c r="V13" s="28">
        <v>5</v>
      </c>
      <c r="W13" s="77">
        <f t="shared" si="13"/>
        <v>37.5</v>
      </c>
      <c r="X13" s="77">
        <f t="shared" si="14"/>
        <v>0</v>
      </c>
      <c r="Y13" s="77" cm="1">
        <f t="array" ref="Y13">_xlfn.IFS(R13&gt;=0.8,5,R13&gt;=0.6,3,R13&gt;=0.2,1,R13&lt;0.2,0)</f>
        <v>5</v>
      </c>
      <c r="Z13" s="55">
        <f t="shared" si="42"/>
        <v>62.5</v>
      </c>
      <c r="AA13" s="228" t="s">
        <v>1346</v>
      </c>
      <c r="AB13" s="5" t="s">
        <v>1347</v>
      </c>
      <c r="AC13" s="80" t="s">
        <v>226</v>
      </c>
      <c r="AD13" s="5" t="s">
        <v>1348</v>
      </c>
      <c r="AE13" s="80" t="s">
        <v>174</v>
      </c>
      <c r="AF13" s="5" t="s">
        <v>1349</v>
      </c>
      <c r="AG13" s="5"/>
      <c r="AH13" s="208">
        <f t="shared" si="15"/>
        <v>0.70211535814252279</v>
      </c>
      <c r="AI13" s="209">
        <f t="shared" si="16"/>
        <v>24.544447262078471</v>
      </c>
      <c r="AJ13" s="80" t="str">
        <f t="shared" si="17"/>
        <v>HIGH</v>
      </c>
      <c r="AK13" s="80" t="str">
        <f t="shared" si="18"/>
        <v>LOW</v>
      </c>
      <c r="AL13" s="236" t="s">
        <v>1350</v>
      </c>
      <c r="AM13" s="217" t="s">
        <v>1321</v>
      </c>
      <c r="AN13" s="126" t="str">
        <f>IF(AND(Z13&gt;Summary!$C$5, Z13&lt;=Summary!$D$5),Summary!$B$5,IF(AND(Z13&gt;Summary!$C$6, Z13&lt;=Summary!$D$6),Summary!$B$6,IF(AND(Z13&gt;Summary!$C$7, Z13&lt;=Summary!$D$7),Summary!$B$7,Summary!$B$8)))</f>
        <v>○</v>
      </c>
      <c r="AO13" s="14" t="s">
        <v>168</v>
      </c>
      <c r="AP13" s="14"/>
      <c r="AQ13" s="14" t="s">
        <v>168</v>
      </c>
      <c r="AR13" s="14"/>
      <c r="AS13" s="14"/>
      <c r="AT13" s="5" t="s">
        <v>1322</v>
      </c>
      <c r="AU13" s="36" t="s">
        <v>1351</v>
      </c>
      <c r="AV13" s="4" t="s">
        <v>168</v>
      </c>
      <c r="AW13" s="6">
        <v>11.2</v>
      </c>
      <c r="AX13" s="6">
        <v>18.5</v>
      </c>
      <c r="AY13" s="33">
        <f t="shared" si="19"/>
        <v>0.60540540540540533</v>
      </c>
      <c r="AZ13" s="42">
        <v>0.20300000000000001</v>
      </c>
      <c r="BA13" s="3">
        <v>8</v>
      </c>
      <c r="BB13" s="37">
        <f t="shared" si="43"/>
        <v>39.408866995073886</v>
      </c>
      <c r="BC13" s="3">
        <v>8</v>
      </c>
      <c r="BD13" s="3">
        <v>8</v>
      </c>
      <c r="BE13" s="36" t="s">
        <v>1352</v>
      </c>
      <c r="BF13" s="4" t="s">
        <v>168</v>
      </c>
      <c r="BG13" s="6">
        <v>11.2</v>
      </c>
      <c r="BH13" s="6">
        <v>15.5</v>
      </c>
      <c r="BI13" s="33">
        <f t="shared" si="20"/>
        <v>0.72258064516129028</v>
      </c>
      <c r="BJ13" s="42">
        <v>0.19900000000000001</v>
      </c>
      <c r="BK13" s="3">
        <v>2</v>
      </c>
      <c r="BL13" s="37">
        <f t="shared" si="21"/>
        <v>10.050251256281406</v>
      </c>
      <c r="BM13" s="3">
        <v>2</v>
      </c>
      <c r="BN13" s="3">
        <v>2</v>
      </c>
      <c r="BO13" s="36" t="s">
        <v>1353</v>
      </c>
      <c r="BP13" s="4" t="s">
        <v>168</v>
      </c>
      <c r="BQ13" s="6">
        <v>14.4</v>
      </c>
      <c r="BR13" s="6">
        <v>19</v>
      </c>
      <c r="BS13" s="33">
        <f t="shared" si="22"/>
        <v>0.75789473684210529</v>
      </c>
      <c r="BT13" s="42">
        <v>0.159</v>
      </c>
      <c r="BU13" s="3">
        <v>3</v>
      </c>
      <c r="BV13" s="37">
        <f t="shared" si="23"/>
        <v>18.867924528301888</v>
      </c>
      <c r="BW13" s="3">
        <v>3</v>
      </c>
      <c r="BX13" s="3">
        <v>3</v>
      </c>
      <c r="BY13" s="36" t="s">
        <v>1354</v>
      </c>
      <c r="BZ13" s="4" t="s">
        <v>168</v>
      </c>
      <c r="CA13" s="6">
        <v>11.2</v>
      </c>
      <c r="CB13" s="6">
        <v>15.5</v>
      </c>
      <c r="CC13" s="33">
        <f t="shared" si="24"/>
        <v>0.72258064516129028</v>
      </c>
      <c r="CD13" s="42">
        <v>0.20100000000000001</v>
      </c>
      <c r="CE13" s="3">
        <v>6</v>
      </c>
      <c r="CF13" s="37">
        <f t="shared" si="25"/>
        <v>29.850746268656714</v>
      </c>
      <c r="CG13" s="3">
        <v>6</v>
      </c>
      <c r="CH13" s="3">
        <v>6</v>
      </c>
      <c r="CI13" s="36"/>
      <c r="CJ13" s="4"/>
      <c r="CK13" s="6"/>
      <c r="CL13" s="6"/>
      <c r="CM13" s="33" t="str">
        <f t="shared" si="26"/>
        <v/>
      </c>
      <c r="CN13" s="42"/>
      <c r="CO13" s="3"/>
      <c r="CP13" s="37" t="str">
        <f t="shared" si="27"/>
        <v/>
      </c>
      <c r="CQ13" s="3"/>
      <c r="CR13" s="3"/>
      <c r="CS13" s="36"/>
      <c r="CT13" s="4"/>
      <c r="CU13" s="6"/>
      <c r="CV13" s="6"/>
      <c r="CW13" s="33" t="str">
        <f t="shared" si="28"/>
        <v/>
      </c>
      <c r="CX13" s="42"/>
      <c r="CY13" s="3"/>
      <c r="CZ13" s="37" t="str">
        <f t="shared" si="29"/>
        <v/>
      </c>
      <c r="DA13" s="3"/>
      <c r="DB13" s="3"/>
      <c r="DC13" s="36"/>
      <c r="DD13" s="4"/>
      <c r="DE13" s="6"/>
      <c r="DF13" s="6"/>
      <c r="DG13" s="33" t="str">
        <f t="shared" si="30"/>
        <v/>
      </c>
      <c r="DH13" s="42"/>
      <c r="DI13" s="3"/>
      <c r="DJ13" s="37" t="str">
        <f t="shared" si="31"/>
        <v/>
      </c>
      <c r="DK13" s="3"/>
      <c r="DL13" s="3"/>
      <c r="DM13" s="36"/>
      <c r="DN13" s="4"/>
      <c r="DO13" s="6"/>
      <c r="DP13" s="6"/>
      <c r="DQ13" s="33" t="str">
        <f t="shared" si="32"/>
        <v/>
      </c>
      <c r="DR13" s="42"/>
      <c r="DS13" s="3"/>
      <c r="DT13" s="37" t="str">
        <f t="shared" si="33"/>
        <v/>
      </c>
      <c r="DU13" s="3"/>
      <c r="DV13" s="3"/>
      <c r="DW13" s="36"/>
      <c r="DX13" s="4"/>
      <c r="DY13" s="6"/>
      <c r="DZ13" s="6"/>
      <c r="EA13" s="33" t="str">
        <f t="shared" si="34"/>
        <v/>
      </c>
      <c r="EB13" s="42"/>
      <c r="EC13" s="3"/>
      <c r="ED13" s="37" t="str">
        <f t="shared" si="35"/>
        <v/>
      </c>
      <c r="EE13" s="3"/>
      <c r="EF13" s="3"/>
      <c r="EG13" s="36"/>
      <c r="EH13" s="4"/>
      <c r="EI13" s="6"/>
      <c r="EJ13" s="6"/>
      <c r="EK13" s="33" t="str">
        <f t="shared" si="36"/>
        <v/>
      </c>
      <c r="EL13" s="42"/>
      <c r="EM13" s="3"/>
      <c r="EN13" s="37" t="str">
        <f t="shared" si="37"/>
        <v/>
      </c>
      <c r="EO13" s="3"/>
      <c r="EP13" s="3"/>
      <c r="EQ13" s="36"/>
      <c r="ER13" s="4"/>
      <c r="ES13" s="6"/>
      <c r="ET13" s="6"/>
      <c r="EU13" s="33" t="str">
        <f t="shared" si="38"/>
        <v/>
      </c>
      <c r="EV13" s="42"/>
      <c r="EW13" s="3"/>
      <c r="EX13" s="37" t="str">
        <f t="shared" si="39"/>
        <v/>
      </c>
      <c r="EY13" s="3"/>
      <c r="EZ13" s="3"/>
      <c r="FA13" s="36"/>
      <c r="FB13" s="4"/>
      <c r="FC13" s="6"/>
      <c r="FD13" s="6"/>
      <c r="FE13" s="33" t="str">
        <f t="shared" si="40"/>
        <v/>
      </c>
      <c r="FF13" s="42"/>
      <c r="FG13" s="3"/>
      <c r="FH13" s="37" t="str">
        <f t="shared" si="41"/>
        <v/>
      </c>
      <c r="FI13" s="3"/>
      <c r="FJ13" s="3"/>
    </row>
    <row r="14" spans="2:166" ht="114.75" customHeight="1">
      <c r="B14" s="27" t="s">
        <v>1355</v>
      </c>
      <c r="C14" s="27" t="s">
        <v>1329</v>
      </c>
      <c r="D14" s="27" t="s">
        <v>313</v>
      </c>
      <c r="E14" s="4">
        <v>3</v>
      </c>
      <c r="F14" s="123" t="str">
        <f t="shared" si="0"/>
        <v>○
[P・Q]
○・○</v>
      </c>
      <c r="G14" s="123" t="str">
        <f t="shared" si="1"/>
        <v>○
[P・Q]
○・○</v>
      </c>
      <c r="H14" s="123" t="str">
        <f t="shared" si="2"/>
        <v>×
[P・Q]
○・×</v>
      </c>
      <c r="I14" s="123" t="str">
        <f t="shared" si="3"/>
        <v/>
      </c>
      <c r="J14" s="123" t="str">
        <f t="shared" si="4"/>
        <v/>
      </c>
      <c r="K14" s="123" t="str">
        <f t="shared" si="5"/>
        <v/>
      </c>
      <c r="L14" s="123" t="str">
        <f t="shared" si="6"/>
        <v/>
      </c>
      <c r="M14" s="123" t="str">
        <f t="shared" si="7"/>
        <v/>
      </c>
      <c r="N14" s="123" t="str">
        <f t="shared" si="8"/>
        <v/>
      </c>
      <c r="O14" s="123" t="str">
        <f t="shared" si="9"/>
        <v/>
      </c>
      <c r="P14" s="123" t="str">
        <f t="shared" si="10"/>
        <v/>
      </c>
      <c r="Q14" s="123" t="str">
        <f t="shared" si="11"/>
        <v/>
      </c>
      <c r="R14" s="76">
        <f t="shared" si="12"/>
        <v>1</v>
      </c>
      <c r="S14" s="4">
        <v>5</v>
      </c>
      <c r="T14" s="4">
        <v>5</v>
      </c>
      <c r="U14" s="4">
        <v>5</v>
      </c>
      <c r="V14" s="4">
        <v>5</v>
      </c>
      <c r="W14" s="77">
        <f t="shared" si="13"/>
        <v>37.5</v>
      </c>
      <c r="X14" s="77">
        <f t="shared" si="14"/>
        <v>25</v>
      </c>
      <c r="Y14" s="77" cm="1">
        <f t="array" ref="Y14">_xlfn.IFS(R14&gt;=0.8,5,R14&gt;=0.6,3,R14&gt;=0.2,1,R14&lt;0.2,0)</f>
        <v>5</v>
      </c>
      <c r="Z14" s="55">
        <f t="shared" si="42"/>
        <v>87.5</v>
      </c>
      <c r="AA14" s="228" t="s">
        <v>1356</v>
      </c>
      <c r="AB14" s="5" t="s">
        <v>1357</v>
      </c>
      <c r="AC14" s="5"/>
      <c r="AD14" s="5"/>
      <c r="AE14" s="5"/>
      <c r="AF14" s="5" t="s">
        <v>1358</v>
      </c>
      <c r="AG14" s="5"/>
      <c r="AH14" s="208">
        <f t="shared" si="15"/>
        <v>0.99570494864612502</v>
      </c>
      <c r="AI14" s="209">
        <f t="shared" si="16"/>
        <v>13.741829664908474</v>
      </c>
      <c r="AJ14" s="80" t="str">
        <f t="shared" si="17"/>
        <v>HIGH</v>
      </c>
      <c r="AK14" s="80" t="str">
        <f t="shared" si="18"/>
        <v>LOW</v>
      </c>
      <c r="AL14" s="235" t="s">
        <v>1359</v>
      </c>
      <c r="AM14" s="217" t="s">
        <v>1321</v>
      </c>
      <c r="AN14" s="126" t="str">
        <f>IF(AND(Z14&gt;Summary!$C$5, Z14&lt;=Summary!$D$5),Summary!$B$5,IF(AND(Z14&gt;Summary!$C$6, Z14&lt;=Summary!$D$6),Summary!$B$6,IF(AND(Z14&gt;Summary!$C$7, Z14&lt;=Summary!$D$7),Summary!$B$7,Summary!$B$8)))</f>
        <v>◎</v>
      </c>
      <c r="AO14" s="14" t="s">
        <v>389</v>
      </c>
      <c r="AP14" s="14" t="s">
        <v>168</v>
      </c>
      <c r="AQ14" s="14"/>
      <c r="AR14" s="14"/>
      <c r="AS14" s="14"/>
      <c r="AT14" s="5" t="s">
        <v>1322</v>
      </c>
      <c r="AU14" s="36" t="s">
        <v>1360</v>
      </c>
      <c r="AV14" s="4" t="s">
        <v>168</v>
      </c>
      <c r="AW14" s="6">
        <v>23.2</v>
      </c>
      <c r="AX14" s="6">
        <v>34</v>
      </c>
      <c r="AY14" s="33">
        <f t="shared" si="19"/>
        <v>0.68235294117647061</v>
      </c>
      <c r="AZ14" s="42">
        <v>1.466</v>
      </c>
      <c r="BA14" s="3">
        <v>8</v>
      </c>
      <c r="BB14" s="37">
        <f t="shared" si="43"/>
        <v>5.4570259208731242</v>
      </c>
      <c r="BC14" s="3">
        <v>8</v>
      </c>
      <c r="BD14" s="3">
        <v>8</v>
      </c>
      <c r="BE14" s="36" t="s">
        <v>1361</v>
      </c>
      <c r="BF14" s="4" t="s">
        <v>168</v>
      </c>
      <c r="BG14" s="6">
        <v>67.2</v>
      </c>
      <c r="BH14" s="6">
        <v>49</v>
      </c>
      <c r="BI14" s="33">
        <f t="shared" si="20"/>
        <v>1.3714285714285714</v>
      </c>
      <c r="BJ14" s="42">
        <v>3.0059999999999998</v>
      </c>
      <c r="BK14" s="3">
        <v>14</v>
      </c>
      <c r="BL14" s="37">
        <f t="shared" si="21"/>
        <v>4.6573519627411848</v>
      </c>
      <c r="BM14" s="3">
        <v>14</v>
      </c>
      <c r="BN14" s="3">
        <v>14</v>
      </c>
      <c r="BO14" s="36" t="s">
        <v>1362</v>
      </c>
      <c r="BP14" s="4" t="s">
        <v>168</v>
      </c>
      <c r="BQ14" s="6">
        <v>11.2</v>
      </c>
      <c r="BR14" s="6">
        <v>12</v>
      </c>
      <c r="BS14" s="33">
        <f t="shared" si="22"/>
        <v>0.93333333333333324</v>
      </c>
      <c r="BT14" s="42">
        <v>0.22500000000000001</v>
      </c>
      <c r="BU14" s="3">
        <v>7</v>
      </c>
      <c r="BV14" s="37">
        <f t="shared" si="23"/>
        <v>31.111111111111111</v>
      </c>
      <c r="BW14" s="3">
        <v>7</v>
      </c>
      <c r="BX14" s="3">
        <v>7</v>
      </c>
      <c r="BY14" s="4"/>
      <c r="BZ14" s="4"/>
      <c r="CA14" s="6"/>
      <c r="CB14" s="6"/>
      <c r="CC14" s="33" t="str">
        <f t="shared" si="24"/>
        <v/>
      </c>
      <c r="CD14" s="42"/>
      <c r="CE14" s="3"/>
      <c r="CF14" s="37" t="str">
        <f t="shared" si="25"/>
        <v/>
      </c>
      <c r="CG14" s="3"/>
      <c r="CH14" s="3"/>
      <c r="CI14" s="4"/>
      <c r="CJ14" s="4"/>
      <c r="CK14" s="6"/>
      <c r="CL14" s="6"/>
      <c r="CM14" s="33" t="str">
        <f t="shared" si="26"/>
        <v/>
      </c>
      <c r="CN14" s="42"/>
      <c r="CO14" s="3"/>
      <c r="CP14" s="37" t="str">
        <f t="shared" si="27"/>
        <v/>
      </c>
      <c r="CQ14" s="3"/>
      <c r="CR14" s="3"/>
      <c r="CS14" s="4"/>
      <c r="CT14" s="4"/>
      <c r="CU14" s="6"/>
      <c r="CV14" s="6"/>
      <c r="CW14" s="33" t="str">
        <f t="shared" si="28"/>
        <v/>
      </c>
      <c r="CX14" s="42"/>
      <c r="CY14" s="3"/>
      <c r="CZ14" s="37" t="str">
        <f t="shared" si="29"/>
        <v/>
      </c>
      <c r="DA14" s="3"/>
      <c r="DB14" s="3"/>
      <c r="DC14" s="4"/>
      <c r="DD14" s="4"/>
      <c r="DE14" s="6"/>
      <c r="DF14" s="6"/>
      <c r="DG14" s="33" t="str">
        <f t="shared" si="30"/>
        <v/>
      </c>
      <c r="DH14" s="42"/>
      <c r="DI14" s="3"/>
      <c r="DJ14" s="37" t="str">
        <f t="shared" si="31"/>
        <v/>
      </c>
      <c r="DK14" s="3"/>
      <c r="DL14" s="3"/>
      <c r="DM14" s="4"/>
      <c r="DN14" s="4"/>
      <c r="DO14" s="6"/>
      <c r="DP14" s="6"/>
      <c r="DQ14" s="33" t="str">
        <f t="shared" si="32"/>
        <v/>
      </c>
      <c r="DR14" s="42"/>
      <c r="DS14" s="3"/>
      <c r="DT14" s="37" t="str">
        <f t="shared" si="33"/>
        <v/>
      </c>
      <c r="DU14" s="3"/>
      <c r="DV14" s="3"/>
      <c r="DW14" s="4"/>
      <c r="DX14" s="4"/>
      <c r="DY14" s="6"/>
      <c r="DZ14" s="6"/>
      <c r="EA14" s="33" t="str">
        <f t="shared" si="34"/>
        <v/>
      </c>
      <c r="EB14" s="42"/>
      <c r="EC14" s="3"/>
      <c r="ED14" s="37" t="str">
        <f t="shared" si="35"/>
        <v/>
      </c>
      <c r="EE14" s="3"/>
      <c r="EF14" s="3"/>
      <c r="EG14" s="4"/>
      <c r="EH14" s="4"/>
      <c r="EI14" s="6"/>
      <c r="EJ14" s="6"/>
      <c r="EK14" s="33" t="str">
        <f t="shared" si="36"/>
        <v/>
      </c>
      <c r="EL14" s="42"/>
      <c r="EM14" s="3"/>
      <c r="EN14" s="37" t="str">
        <f t="shared" si="37"/>
        <v/>
      </c>
      <c r="EO14" s="3"/>
      <c r="EP14" s="3"/>
      <c r="EQ14" s="4"/>
      <c r="ER14" s="4"/>
      <c r="ES14" s="6"/>
      <c r="ET14" s="6"/>
      <c r="EU14" s="33" t="str">
        <f t="shared" si="38"/>
        <v/>
      </c>
      <c r="EV14" s="42"/>
      <c r="EW14" s="3"/>
      <c r="EX14" s="37" t="str">
        <f t="shared" si="39"/>
        <v/>
      </c>
      <c r="EY14" s="3"/>
      <c r="EZ14" s="3"/>
      <c r="FA14" s="4"/>
      <c r="FB14" s="4"/>
      <c r="FC14" s="6"/>
      <c r="FD14" s="6"/>
      <c r="FE14" s="33" t="str">
        <f t="shared" si="40"/>
        <v/>
      </c>
      <c r="FF14" s="42"/>
      <c r="FG14" s="3"/>
      <c r="FH14" s="37" t="str">
        <f t="shared" si="41"/>
        <v/>
      </c>
      <c r="FI14" s="3"/>
      <c r="FJ14" s="3"/>
    </row>
    <row r="15" spans="2:166" ht="42" customHeight="1">
      <c r="B15" s="3" t="s">
        <v>1363</v>
      </c>
      <c r="C15" s="27" t="s">
        <v>1329</v>
      </c>
      <c r="D15" s="27" t="s">
        <v>313</v>
      </c>
      <c r="E15" s="4">
        <v>2</v>
      </c>
      <c r="F15" s="123" t="str">
        <f t="shared" si="0"/>
        <v>○
[P・Q]
○・○</v>
      </c>
      <c r="G15" s="123" t="str">
        <f t="shared" si="1"/>
        <v>×
[P・Q]
○・--</v>
      </c>
      <c r="H15" s="123" t="str">
        <f t="shared" si="2"/>
        <v/>
      </c>
      <c r="I15" s="123" t="str">
        <f t="shared" si="3"/>
        <v/>
      </c>
      <c r="J15" s="123" t="str">
        <f t="shared" si="4"/>
        <v/>
      </c>
      <c r="K15" s="123" t="str">
        <f t="shared" si="5"/>
        <v/>
      </c>
      <c r="L15" s="123" t="str">
        <f t="shared" si="6"/>
        <v/>
      </c>
      <c r="M15" s="123" t="str">
        <f t="shared" si="7"/>
        <v/>
      </c>
      <c r="N15" s="123" t="str">
        <f t="shared" si="8"/>
        <v/>
      </c>
      <c r="O15" s="123" t="str">
        <f t="shared" si="9"/>
        <v/>
      </c>
      <c r="P15" s="123" t="str">
        <f t="shared" si="10"/>
        <v/>
      </c>
      <c r="Q15" s="123" t="str">
        <f t="shared" si="11"/>
        <v/>
      </c>
      <c r="R15" s="76">
        <f t="shared" si="12"/>
        <v>0.5</v>
      </c>
      <c r="S15" s="4">
        <v>5</v>
      </c>
      <c r="T15" s="4">
        <v>5</v>
      </c>
      <c r="U15" s="4">
        <v>5</v>
      </c>
      <c r="V15" s="4">
        <v>5</v>
      </c>
      <c r="W15" s="77">
        <f t="shared" si="13"/>
        <v>37.5</v>
      </c>
      <c r="X15" s="77">
        <f t="shared" si="14"/>
        <v>18.75</v>
      </c>
      <c r="Y15" s="77" cm="1">
        <f t="array" ref="Y15">_xlfn.IFS(R15&gt;=0.8,5,R15&gt;=0.6,3,R15&gt;=0.2,1,R15&lt;0.2,0)</f>
        <v>1</v>
      </c>
      <c r="Z15" s="55">
        <f t="shared" si="42"/>
        <v>77.25</v>
      </c>
      <c r="AA15" s="5" t="s">
        <v>230</v>
      </c>
      <c r="AB15" s="5" t="s">
        <v>230</v>
      </c>
      <c r="AC15" s="3"/>
      <c r="AD15" s="3"/>
      <c r="AE15" s="3"/>
      <c r="AF15" s="3"/>
      <c r="AG15" s="3"/>
      <c r="AH15" s="208">
        <f t="shared" si="15"/>
        <v>0.97145366710584091</v>
      </c>
      <c r="AI15" s="209">
        <f t="shared" si="16"/>
        <v>0</v>
      </c>
      <c r="AJ15" s="80" t="str">
        <f t="shared" si="17"/>
        <v>HIGH</v>
      </c>
      <c r="AK15" s="80" t="str">
        <f t="shared" si="18"/>
        <v>HIGH</v>
      </c>
      <c r="AL15" s="3"/>
      <c r="AM15" s="3"/>
      <c r="AN15" s="126" t="str">
        <f>IF(AND(Z15&gt;Summary!$C$5, Z15&lt;=Summary!$D$5),Summary!$B$5,IF(AND(Z15&gt;Summary!$C$6, Z15&lt;=Summary!$D$6),Summary!$B$6,IF(AND(Z15&gt;Summary!$C$7, Z15&lt;=Summary!$D$7),Summary!$B$7,Summary!$B$8)))</f>
        <v>◎</v>
      </c>
      <c r="AO15" s="14" t="s">
        <v>389</v>
      </c>
      <c r="AP15" s="14"/>
      <c r="AQ15" s="14"/>
      <c r="AR15" s="14"/>
      <c r="AS15" s="14"/>
      <c r="AT15" s="5" t="s">
        <v>230</v>
      </c>
      <c r="AU15" s="36" t="s">
        <v>1364</v>
      </c>
      <c r="AV15" s="4" t="s">
        <v>168</v>
      </c>
      <c r="AW15" s="6">
        <v>11.2</v>
      </c>
      <c r="AX15" s="6">
        <v>13.8</v>
      </c>
      <c r="AY15" s="33">
        <f t="shared" si="19"/>
        <v>0.81159420289855067</v>
      </c>
      <c r="AZ15" s="42">
        <v>0.182</v>
      </c>
      <c r="BA15" s="3">
        <v>0</v>
      </c>
      <c r="BB15" s="37">
        <f t="shared" si="43"/>
        <v>0</v>
      </c>
      <c r="BC15" s="3">
        <v>0</v>
      </c>
      <c r="BD15" s="3">
        <v>0</v>
      </c>
      <c r="BE15" s="36" t="s">
        <v>1365</v>
      </c>
      <c r="BF15" s="4"/>
      <c r="BG15" s="6">
        <v>11.2</v>
      </c>
      <c r="BH15" s="6">
        <v>9.9</v>
      </c>
      <c r="BI15" s="33">
        <f t="shared" si="20"/>
        <v>1.1313131313131313</v>
      </c>
      <c r="BJ15" s="42">
        <v>0.25800000000000001</v>
      </c>
      <c r="BK15" s="3"/>
      <c r="BL15" s="37" t="str">
        <f t="shared" si="21"/>
        <v/>
      </c>
      <c r="BM15" s="3"/>
      <c r="BN15" s="3"/>
      <c r="BO15" s="4"/>
      <c r="BP15" s="4"/>
      <c r="BQ15" s="6"/>
      <c r="BR15" s="6"/>
      <c r="BS15" s="33" t="str">
        <f t="shared" si="22"/>
        <v/>
      </c>
      <c r="BT15" s="42"/>
      <c r="BU15" s="3"/>
      <c r="BV15" s="37" t="str">
        <f t="shared" si="23"/>
        <v/>
      </c>
      <c r="BW15" s="3"/>
      <c r="BX15" s="3"/>
      <c r="BY15" s="4"/>
      <c r="BZ15" s="4"/>
      <c r="CA15" s="6"/>
      <c r="CB15" s="6"/>
      <c r="CC15" s="33" t="str">
        <f t="shared" si="24"/>
        <v/>
      </c>
      <c r="CD15" s="42"/>
      <c r="CE15" s="3"/>
      <c r="CF15" s="37" t="str">
        <f t="shared" si="25"/>
        <v/>
      </c>
      <c r="CG15" s="3"/>
      <c r="CH15" s="3"/>
      <c r="CI15" s="4"/>
      <c r="CJ15" s="4"/>
      <c r="CK15" s="6"/>
      <c r="CL15" s="6"/>
      <c r="CM15" s="33" t="str">
        <f t="shared" si="26"/>
        <v/>
      </c>
      <c r="CN15" s="42"/>
      <c r="CO15" s="3"/>
      <c r="CP15" s="37" t="str">
        <f t="shared" si="27"/>
        <v/>
      </c>
      <c r="CQ15" s="3"/>
      <c r="CR15" s="3"/>
      <c r="CS15" s="4"/>
      <c r="CT15" s="4"/>
      <c r="CU15" s="6"/>
      <c r="CV15" s="6"/>
      <c r="CW15" s="33" t="str">
        <f t="shared" si="28"/>
        <v/>
      </c>
      <c r="CX15" s="42"/>
      <c r="CY15" s="3"/>
      <c r="CZ15" s="37" t="str">
        <f t="shared" si="29"/>
        <v/>
      </c>
      <c r="DA15" s="3"/>
      <c r="DB15" s="3"/>
      <c r="DC15" s="4"/>
      <c r="DD15" s="4"/>
      <c r="DE15" s="6"/>
      <c r="DF15" s="6"/>
      <c r="DG15" s="33" t="str">
        <f t="shared" si="30"/>
        <v/>
      </c>
      <c r="DH15" s="42"/>
      <c r="DI15" s="3"/>
      <c r="DJ15" s="37" t="str">
        <f t="shared" si="31"/>
        <v/>
      </c>
      <c r="DK15" s="3"/>
      <c r="DL15" s="3"/>
      <c r="DM15" s="4"/>
      <c r="DN15" s="4"/>
      <c r="DO15" s="6"/>
      <c r="DP15" s="6"/>
      <c r="DQ15" s="33" t="str">
        <f t="shared" si="32"/>
        <v/>
      </c>
      <c r="DR15" s="42"/>
      <c r="DS15" s="3"/>
      <c r="DT15" s="37" t="str">
        <f t="shared" si="33"/>
        <v/>
      </c>
      <c r="DU15" s="3"/>
      <c r="DV15" s="3"/>
      <c r="DW15" s="4"/>
      <c r="DX15" s="4"/>
      <c r="DY15" s="6"/>
      <c r="DZ15" s="6"/>
      <c r="EA15" s="33" t="str">
        <f t="shared" si="34"/>
        <v/>
      </c>
      <c r="EB15" s="42"/>
      <c r="EC15" s="3"/>
      <c r="ED15" s="37" t="str">
        <f t="shared" si="35"/>
        <v/>
      </c>
      <c r="EE15" s="3"/>
      <c r="EF15" s="3"/>
      <c r="EG15" s="4"/>
      <c r="EH15" s="4"/>
      <c r="EI15" s="6"/>
      <c r="EJ15" s="6"/>
      <c r="EK15" s="33" t="str">
        <f t="shared" si="36"/>
        <v/>
      </c>
      <c r="EL15" s="42"/>
      <c r="EM15" s="3"/>
      <c r="EN15" s="37" t="str">
        <f t="shared" si="37"/>
        <v/>
      </c>
      <c r="EO15" s="3"/>
      <c r="EP15" s="3"/>
      <c r="EQ15" s="4"/>
      <c r="ER15" s="4"/>
      <c r="ES15" s="6"/>
      <c r="ET15" s="6"/>
      <c r="EU15" s="33" t="str">
        <f t="shared" si="38"/>
        <v/>
      </c>
      <c r="EV15" s="42"/>
      <c r="EW15" s="3"/>
      <c r="EX15" s="37" t="str">
        <f t="shared" si="39"/>
        <v/>
      </c>
      <c r="EY15" s="3"/>
      <c r="EZ15" s="3"/>
      <c r="FA15" s="4"/>
      <c r="FB15" s="4"/>
      <c r="FC15" s="6"/>
      <c r="FD15" s="6"/>
      <c r="FE15" s="33" t="str">
        <f t="shared" si="40"/>
        <v/>
      </c>
      <c r="FF15" s="42"/>
      <c r="FG15" s="3"/>
      <c r="FH15" s="37" t="str">
        <f t="shared" si="41"/>
        <v/>
      </c>
      <c r="FI15" s="3"/>
      <c r="FJ15" s="3"/>
    </row>
    <row r="16" spans="2:166" ht="42" customHeight="1">
      <c r="B16" s="3" t="s">
        <v>1366</v>
      </c>
      <c r="C16" s="27" t="s">
        <v>300</v>
      </c>
      <c r="D16" s="27" t="s">
        <v>313</v>
      </c>
      <c r="E16" s="4">
        <v>1</v>
      </c>
      <c r="F16" s="123" t="str">
        <f t="shared" si="0"/>
        <v>×
[P・Q]
○・--</v>
      </c>
      <c r="G16" s="123" t="str">
        <f t="shared" si="1"/>
        <v/>
      </c>
      <c r="H16" s="123" t="str">
        <f t="shared" si="2"/>
        <v/>
      </c>
      <c r="I16" s="123" t="str">
        <f t="shared" si="3"/>
        <v/>
      </c>
      <c r="J16" s="123" t="str">
        <f t="shared" si="4"/>
        <v/>
      </c>
      <c r="K16" s="123" t="str">
        <f t="shared" si="5"/>
        <v/>
      </c>
      <c r="L16" s="123" t="str">
        <f t="shared" si="6"/>
        <v/>
      </c>
      <c r="M16" s="123" t="str">
        <f t="shared" si="7"/>
        <v/>
      </c>
      <c r="N16" s="123" t="str">
        <f t="shared" si="8"/>
        <v/>
      </c>
      <c r="O16" s="123" t="str">
        <f t="shared" si="9"/>
        <v/>
      </c>
      <c r="P16" s="123" t="str">
        <f t="shared" si="10"/>
        <v/>
      </c>
      <c r="Q16" s="123" t="str">
        <f t="shared" si="11"/>
        <v/>
      </c>
      <c r="R16" s="76">
        <f t="shared" si="12"/>
        <v>0</v>
      </c>
      <c r="S16" s="4">
        <v>5</v>
      </c>
      <c r="T16" s="4">
        <v>5</v>
      </c>
      <c r="U16" s="4">
        <v>5</v>
      </c>
      <c r="V16" s="4">
        <v>5</v>
      </c>
      <c r="W16" s="77">
        <f t="shared" si="13"/>
        <v>37.5</v>
      </c>
      <c r="X16" s="77">
        <f t="shared" si="14"/>
        <v>0</v>
      </c>
      <c r="Y16" s="77" cm="1">
        <f t="array" ref="Y16">_xlfn.IFS(R16&gt;=0.8,5,R16&gt;=0.6,3,R16&gt;=0.2,1,R16&lt;0.2,0)</f>
        <v>0</v>
      </c>
      <c r="Z16" s="55">
        <f t="shared" si="42"/>
        <v>57.5</v>
      </c>
      <c r="AA16" s="5" t="s">
        <v>230</v>
      </c>
      <c r="AB16" s="5" t="s">
        <v>230</v>
      </c>
      <c r="AC16" s="5"/>
      <c r="AD16" s="5"/>
      <c r="AE16" s="5"/>
      <c r="AF16" s="5"/>
      <c r="AG16" s="5"/>
      <c r="AH16" s="208">
        <f t="shared" si="15"/>
        <v>3.5555555555555554</v>
      </c>
      <c r="AI16" s="209" t="str">
        <f t="shared" si="16"/>
        <v xml:space="preserve"> </v>
      </c>
      <c r="AJ16" s="80" t="str">
        <f t="shared" si="17"/>
        <v>HIGH</v>
      </c>
      <c r="AK16" s="80" t="str">
        <f t="shared" si="18"/>
        <v>LOW</v>
      </c>
      <c r="AL16" s="5"/>
      <c r="AM16" s="5"/>
      <c r="AN16" s="126" t="str">
        <f>IF(AND(Z16&gt;Summary!$C$5, Z16&lt;=Summary!$D$5),Summary!$B$5,IF(AND(Z16&gt;Summary!$C$6, Z16&lt;=Summary!$D$6),Summary!$B$6,IF(AND(Z16&gt;Summary!$C$7, Z16&lt;=Summary!$D$7),Summary!$B$7,Summary!$B$8)))</f>
        <v>○</v>
      </c>
      <c r="AO16" s="14" t="s">
        <v>168</v>
      </c>
      <c r="AP16" s="14"/>
      <c r="AQ16" s="14"/>
      <c r="AR16" s="14"/>
      <c r="AS16" s="14"/>
      <c r="AT16" s="5" t="s">
        <v>230</v>
      </c>
      <c r="AU16" s="36" t="s">
        <v>1367</v>
      </c>
      <c r="AV16" s="4"/>
      <c r="AW16" s="6">
        <v>19.2</v>
      </c>
      <c r="AX16" s="6">
        <v>5.4</v>
      </c>
      <c r="AY16" s="33">
        <f t="shared" si="19"/>
        <v>3.5555555555555554</v>
      </c>
      <c r="AZ16" s="42"/>
      <c r="BA16" s="3"/>
      <c r="BB16" s="37" t="str">
        <f t="shared" si="43"/>
        <v/>
      </c>
      <c r="BC16" s="3"/>
      <c r="BD16" s="3"/>
      <c r="BE16" s="4"/>
      <c r="BF16" s="4"/>
      <c r="BG16" s="6"/>
      <c r="BH16" s="6"/>
      <c r="BI16" s="33" t="str">
        <f t="shared" si="20"/>
        <v/>
      </c>
      <c r="BJ16" s="42"/>
      <c r="BK16" s="3"/>
      <c r="BL16" s="37" t="str">
        <f t="shared" si="21"/>
        <v/>
      </c>
      <c r="BM16" s="3"/>
      <c r="BN16" s="3"/>
      <c r="BO16" s="4"/>
      <c r="BP16" s="4"/>
      <c r="BQ16" s="6"/>
      <c r="BR16" s="6"/>
      <c r="BS16" s="33" t="str">
        <f t="shared" si="22"/>
        <v/>
      </c>
      <c r="BT16" s="42"/>
      <c r="BU16" s="3"/>
      <c r="BV16" s="37" t="str">
        <f t="shared" si="23"/>
        <v/>
      </c>
      <c r="BW16" s="3"/>
      <c r="BX16" s="3"/>
      <c r="BY16" s="4"/>
      <c r="BZ16" s="4"/>
      <c r="CA16" s="6"/>
      <c r="CB16" s="6"/>
      <c r="CC16" s="33" t="str">
        <f t="shared" si="24"/>
        <v/>
      </c>
      <c r="CD16" s="42"/>
      <c r="CE16" s="3"/>
      <c r="CF16" s="37" t="str">
        <f t="shared" si="25"/>
        <v/>
      </c>
      <c r="CG16" s="3"/>
      <c r="CH16" s="3"/>
      <c r="CI16" s="4"/>
      <c r="CJ16" s="4"/>
      <c r="CK16" s="6"/>
      <c r="CL16" s="6"/>
      <c r="CM16" s="33" t="str">
        <f t="shared" si="26"/>
        <v/>
      </c>
      <c r="CN16" s="42"/>
      <c r="CO16" s="3"/>
      <c r="CP16" s="37" t="str">
        <f t="shared" si="27"/>
        <v/>
      </c>
      <c r="CQ16" s="3"/>
      <c r="CR16" s="3"/>
      <c r="CS16" s="4"/>
      <c r="CT16" s="4"/>
      <c r="CU16" s="6"/>
      <c r="CV16" s="6"/>
      <c r="CW16" s="33" t="str">
        <f t="shared" si="28"/>
        <v/>
      </c>
      <c r="CX16" s="42"/>
      <c r="CY16" s="3"/>
      <c r="CZ16" s="37" t="str">
        <f t="shared" si="29"/>
        <v/>
      </c>
      <c r="DA16" s="3"/>
      <c r="DB16" s="3"/>
      <c r="DC16" s="4"/>
      <c r="DD16" s="4"/>
      <c r="DE16" s="6"/>
      <c r="DF16" s="6"/>
      <c r="DG16" s="33" t="str">
        <f t="shared" si="30"/>
        <v/>
      </c>
      <c r="DH16" s="42"/>
      <c r="DI16" s="3"/>
      <c r="DJ16" s="37" t="str">
        <f t="shared" si="31"/>
        <v/>
      </c>
      <c r="DK16" s="3"/>
      <c r="DL16" s="3"/>
      <c r="DM16" s="4"/>
      <c r="DN16" s="4"/>
      <c r="DO16" s="6"/>
      <c r="DP16" s="6"/>
      <c r="DQ16" s="33" t="str">
        <f t="shared" si="32"/>
        <v/>
      </c>
      <c r="DR16" s="42"/>
      <c r="DS16" s="3"/>
      <c r="DT16" s="37" t="str">
        <f t="shared" si="33"/>
        <v/>
      </c>
      <c r="DU16" s="3"/>
      <c r="DV16" s="3"/>
      <c r="DW16" s="4"/>
      <c r="DX16" s="4"/>
      <c r="DY16" s="6"/>
      <c r="DZ16" s="6"/>
      <c r="EA16" s="33" t="str">
        <f t="shared" si="34"/>
        <v/>
      </c>
      <c r="EB16" s="42"/>
      <c r="EC16" s="3"/>
      <c r="ED16" s="37" t="str">
        <f t="shared" si="35"/>
        <v/>
      </c>
      <c r="EE16" s="3"/>
      <c r="EF16" s="3"/>
      <c r="EG16" s="4"/>
      <c r="EH16" s="4"/>
      <c r="EI16" s="6"/>
      <c r="EJ16" s="6"/>
      <c r="EK16" s="33" t="str">
        <f t="shared" si="36"/>
        <v/>
      </c>
      <c r="EL16" s="42"/>
      <c r="EM16" s="3"/>
      <c r="EN16" s="37" t="str">
        <f t="shared" si="37"/>
        <v/>
      </c>
      <c r="EO16" s="3"/>
      <c r="EP16" s="3"/>
      <c r="EQ16" s="4"/>
      <c r="ER16" s="4"/>
      <c r="ES16" s="6"/>
      <c r="ET16" s="6"/>
      <c r="EU16" s="33" t="str">
        <f t="shared" si="38"/>
        <v/>
      </c>
      <c r="EV16" s="42"/>
      <c r="EW16" s="3"/>
      <c r="EX16" s="37" t="str">
        <f t="shared" si="39"/>
        <v/>
      </c>
      <c r="EY16" s="3"/>
      <c r="EZ16" s="3"/>
      <c r="FA16" s="4"/>
      <c r="FB16" s="4"/>
      <c r="FC16" s="6"/>
      <c r="FD16" s="6"/>
      <c r="FE16" s="33" t="str">
        <f t="shared" si="40"/>
        <v/>
      </c>
      <c r="FF16" s="42"/>
      <c r="FG16" s="3"/>
      <c r="FH16" s="37" t="str">
        <f t="shared" si="41"/>
        <v/>
      </c>
      <c r="FI16" s="3"/>
      <c r="FJ16" s="3"/>
    </row>
    <row r="17" spans="2:166" ht="42" customHeight="1">
      <c r="B17" s="3" t="s">
        <v>1368</v>
      </c>
      <c r="C17" s="27" t="s">
        <v>300</v>
      </c>
      <c r="D17" s="27" t="s">
        <v>313</v>
      </c>
      <c r="E17" s="4">
        <v>3</v>
      </c>
      <c r="F17" s="123" t="str">
        <f t="shared" si="0"/>
        <v>×
[P・Q]
○・×</v>
      </c>
      <c r="G17" s="123" t="str">
        <f t="shared" si="1"/>
        <v>○
[P・Q]
○・○</v>
      </c>
      <c r="H17" s="123" t="str">
        <f t="shared" si="2"/>
        <v>×
[P・Q]
○・--</v>
      </c>
      <c r="I17" s="123" t="str">
        <f t="shared" si="3"/>
        <v/>
      </c>
      <c r="J17" s="123" t="s">
        <v>1369</v>
      </c>
      <c r="K17" s="123" t="str">
        <f t="shared" si="5"/>
        <v/>
      </c>
      <c r="L17" s="123" t="str">
        <f t="shared" si="6"/>
        <v/>
      </c>
      <c r="M17" s="123" t="str">
        <f t="shared" si="7"/>
        <v/>
      </c>
      <c r="N17" s="123" t="str">
        <f t="shared" si="8"/>
        <v/>
      </c>
      <c r="O17" s="123" t="str">
        <f t="shared" si="9"/>
        <v/>
      </c>
      <c r="P17" s="123" t="str">
        <f t="shared" si="10"/>
        <v/>
      </c>
      <c r="Q17" s="123" t="str">
        <f t="shared" si="11"/>
        <v/>
      </c>
      <c r="R17" s="76">
        <f t="shared" si="12"/>
        <v>0.66666666666666663</v>
      </c>
      <c r="S17" s="4">
        <v>5</v>
      </c>
      <c r="T17" s="4">
        <v>5</v>
      </c>
      <c r="U17" s="4">
        <v>5</v>
      </c>
      <c r="V17" s="4">
        <v>5</v>
      </c>
      <c r="W17" s="77">
        <f t="shared" si="13"/>
        <v>37.5</v>
      </c>
      <c r="X17" s="77">
        <f t="shared" si="14"/>
        <v>12.5</v>
      </c>
      <c r="Y17" s="77" cm="1">
        <f t="array" ref="Y17">_xlfn.IFS(R17&gt;=0.8,5,R17&gt;=0.6,3,R17&gt;=0.2,1,R17&lt;0.2,0)</f>
        <v>3</v>
      </c>
      <c r="Z17" s="55">
        <f t="shared" si="42"/>
        <v>73</v>
      </c>
      <c r="AA17" s="5" t="s">
        <v>230</v>
      </c>
      <c r="AB17" s="5" t="s">
        <v>230</v>
      </c>
      <c r="AC17" s="5"/>
      <c r="AD17" s="5"/>
      <c r="AE17" s="5"/>
      <c r="AF17" s="5"/>
      <c r="AG17" s="5"/>
      <c r="AH17" s="208">
        <f t="shared" si="15"/>
        <v>0.9884491872931177</v>
      </c>
      <c r="AI17" s="209">
        <f t="shared" si="16"/>
        <v>6.0240963855421681</v>
      </c>
      <c r="AJ17" s="80" t="str">
        <f t="shared" si="17"/>
        <v>HIGH</v>
      </c>
      <c r="AK17" s="80" t="str">
        <f t="shared" si="18"/>
        <v>HIGH</v>
      </c>
      <c r="AL17" s="5"/>
      <c r="AM17" s="5"/>
      <c r="AN17" s="126" t="str">
        <f>IF(AND(Z17&gt;Summary!$C$5, Z17&lt;=Summary!$D$5),Summary!$B$5,IF(AND(Z17&gt;Summary!$C$6, Z17&lt;=Summary!$D$6),Summary!$B$6,IF(AND(Z17&gt;Summary!$C$7, Z17&lt;=Summary!$D$7),Summary!$B$7,Summary!$B$8)))</f>
        <v>◎</v>
      </c>
      <c r="AO17" s="14" t="s">
        <v>168</v>
      </c>
      <c r="AP17" s="14"/>
      <c r="AQ17" s="14"/>
      <c r="AR17" s="14"/>
      <c r="AS17" s="14"/>
      <c r="AT17" s="5" t="s">
        <v>230</v>
      </c>
      <c r="AU17" s="36" t="s">
        <v>1370</v>
      </c>
      <c r="AV17" s="4" t="s">
        <v>168</v>
      </c>
      <c r="AW17" s="6">
        <v>11.2</v>
      </c>
      <c r="AX17" s="6">
        <v>17.3</v>
      </c>
      <c r="AY17" s="33">
        <f t="shared" si="19"/>
        <v>0.64739884393063574</v>
      </c>
      <c r="AZ17" s="42">
        <v>0.33200000000000002</v>
      </c>
      <c r="BA17" s="3">
        <v>4</v>
      </c>
      <c r="BB17" s="37">
        <f t="shared" si="43"/>
        <v>12.048192771084336</v>
      </c>
      <c r="BC17" s="3">
        <v>4</v>
      </c>
      <c r="BD17" s="3">
        <v>4</v>
      </c>
      <c r="BE17" s="36" t="s">
        <v>1371</v>
      </c>
      <c r="BF17" s="4" t="s">
        <v>168</v>
      </c>
      <c r="BG17" s="6">
        <v>11.2</v>
      </c>
      <c r="BH17" s="6">
        <v>15.6</v>
      </c>
      <c r="BI17" s="33">
        <f t="shared" si="20"/>
        <v>0.71794871794871795</v>
      </c>
      <c r="BJ17" s="42">
        <v>0.154</v>
      </c>
      <c r="BK17" s="3">
        <v>0</v>
      </c>
      <c r="BL17" s="37">
        <f t="shared" si="21"/>
        <v>0</v>
      </c>
      <c r="BM17" s="3">
        <v>0</v>
      </c>
      <c r="BN17" s="3">
        <v>0</v>
      </c>
      <c r="BO17" s="36" t="s">
        <v>1372</v>
      </c>
      <c r="BP17" s="4"/>
      <c r="BQ17" s="6">
        <v>11.2</v>
      </c>
      <c r="BR17" s="6">
        <v>7</v>
      </c>
      <c r="BS17" s="33">
        <f t="shared" si="22"/>
        <v>1.5999999999999999</v>
      </c>
      <c r="BT17" s="42">
        <v>0.187</v>
      </c>
      <c r="BU17" s="3"/>
      <c r="BV17" s="37" t="str">
        <f t="shared" si="23"/>
        <v/>
      </c>
      <c r="BW17" s="3"/>
      <c r="BX17" s="3"/>
      <c r="BY17" s="4"/>
      <c r="BZ17" s="4"/>
      <c r="CA17" s="6"/>
      <c r="CB17" s="6"/>
      <c r="CC17" s="33" t="str">
        <f t="shared" si="24"/>
        <v/>
      </c>
      <c r="CD17" s="42"/>
      <c r="CE17" s="3"/>
      <c r="CF17" s="37" t="str">
        <f t="shared" si="25"/>
        <v/>
      </c>
      <c r="CG17" s="3"/>
      <c r="CH17" s="3"/>
      <c r="CI17" s="4"/>
      <c r="CJ17" s="4"/>
      <c r="CK17" s="6"/>
      <c r="CL17" s="6"/>
      <c r="CM17" s="33" t="str">
        <f t="shared" si="26"/>
        <v/>
      </c>
      <c r="CN17" s="42"/>
      <c r="CO17" s="3"/>
      <c r="CP17" s="37" t="str">
        <f t="shared" si="27"/>
        <v/>
      </c>
      <c r="CQ17" s="3"/>
      <c r="CR17" s="3"/>
      <c r="CS17" s="4"/>
      <c r="CT17" s="4"/>
      <c r="CU17" s="6"/>
      <c r="CV17" s="6"/>
      <c r="CW17" s="33" t="str">
        <f t="shared" si="28"/>
        <v/>
      </c>
      <c r="CX17" s="42"/>
      <c r="CY17" s="3"/>
      <c r="CZ17" s="37" t="str">
        <f t="shared" si="29"/>
        <v/>
      </c>
      <c r="DA17" s="3"/>
      <c r="DB17" s="3"/>
      <c r="DC17" s="4"/>
      <c r="DD17" s="4"/>
      <c r="DE17" s="6"/>
      <c r="DF17" s="6"/>
      <c r="DG17" s="33" t="str">
        <f t="shared" si="30"/>
        <v/>
      </c>
      <c r="DH17" s="42"/>
      <c r="DI17" s="3"/>
      <c r="DJ17" s="37" t="str">
        <f t="shared" si="31"/>
        <v/>
      </c>
      <c r="DK17" s="3"/>
      <c r="DL17" s="3"/>
      <c r="DM17" s="4"/>
      <c r="DN17" s="4"/>
      <c r="DO17" s="6"/>
      <c r="DP17" s="6"/>
      <c r="DQ17" s="33" t="str">
        <f t="shared" si="32"/>
        <v/>
      </c>
      <c r="DR17" s="42"/>
      <c r="DS17" s="3"/>
      <c r="DT17" s="37" t="str">
        <f t="shared" si="33"/>
        <v/>
      </c>
      <c r="DU17" s="3"/>
      <c r="DV17" s="3"/>
      <c r="DW17" s="4"/>
      <c r="DX17" s="4"/>
      <c r="DY17" s="6"/>
      <c r="DZ17" s="6"/>
      <c r="EA17" s="33" t="str">
        <f t="shared" si="34"/>
        <v/>
      </c>
      <c r="EB17" s="42"/>
      <c r="EC17" s="3"/>
      <c r="ED17" s="37" t="str">
        <f t="shared" si="35"/>
        <v/>
      </c>
      <c r="EE17" s="3"/>
      <c r="EF17" s="3"/>
      <c r="EG17" s="4"/>
      <c r="EH17" s="4"/>
      <c r="EI17" s="6"/>
      <c r="EJ17" s="6"/>
      <c r="EK17" s="33" t="str">
        <f t="shared" si="36"/>
        <v/>
      </c>
      <c r="EL17" s="42"/>
      <c r="EM17" s="3"/>
      <c r="EN17" s="37" t="str">
        <f t="shared" si="37"/>
        <v/>
      </c>
      <c r="EO17" s="3"/>
      <c r="EP17" s="3"/>
      <c r="EQ17" s="4"/>
      <c r="ER17" s="4"/>
      <c r="ES17" s="6"/>
      <c r="ET17" s="6"/>
      <c r="EU17" s="33" t="str">
        <f t="shared" si="38"/>
        <v/>
      </c>
      <c r="EV17" s="42"/>
      <c r="EW17" s="3"/>
      <c r="EX17" s="37" t="str">
        <f t="shared" si="39"/>
        <v/>
      </c>
      <c r="EY17" s="3"/>
      <c r="EZ17" s="3"/>
      <c r="FA17" s="4"/>
      <c r="FB17" s="4"/>
      <c r="FC17" s="6"/>
      <c r="FD17" s="6"/>
      <c r="FE17" s="33" t="str">
        <f t="shared" si="40"/>
        <v/>
      </c>
      <c r="FF17" s="42"/>
      <c r="FG17" s="3"/>
      <c r="FH17" s="37" t="str">
        <f t="shared" si="41"/>
        <v/>
      </c>
      <c r="FI17" s="3"/>
      <c r="FJ17" s="3"/>
    </row>
    <row r="18" spans="2:166" ht="42" customHeight="1">
      <c r="B18" s="3"/>
      <c r="C18" s="3"/>
      <c r="D18" s="3"/>
      <c r="E18" s="4"/>
      <c r="F18" s="123" t="str">
        <f t="shared" si="0"/>
        <v/>
      </c>
      <c r="G18" s="123" t="str">
        <f t="shared" si="1"/>
        <v/>
      </c>
      <c r="H18" s="123" t="str">
        <f t="shared" si="2"/>
        <v/>
      </c>
      <c r="I18" s="123" t="str">
        <f t="shared" si="3"/>
        <v/>
      </c>
      <c r="J18" s="123" t="str">
        <f t="shared" ref="J18:J31" si="44">IF($E18&lt;J$9,"",IF(AND(CM18&gt;0.6,CP18&lt;=8,CQ18=CR18),"○","×")&amp;CHAR(10)&amp;"[P・Q]"&amp;CHAR(10)&amp;IF(CM18="","--",IF(CM18&gt;0.6,"○","×"))&amp;IF(CP18="","・--",IF(CP18&lt;=8,"・○","・×")))</f>
        <v/>
      </c>
      <c r="K18" s="123" t="str">
        <f t="shared" si="5"/>
        <v/>
      </c>
      <c r="L18" s="123" t="str">
        <f t="shared" si="6"/>
        <v/>
      </c>
      <c r="M18" s="123" t="str">
        <f t="shared" si="7"/>
        <v/>
      </c>
      <c r="N18" s="123" t="str">
        <f t="shared" si="8"/>
        <v/>
      </c>
      <c r="O18" s="123" t="str">
        <f t="shared" si="9"/>
        <v/>
      </c>
      <c r="P18" s="123" t="str">
        <f t="shared" si="10"/>
        <v/>
      </c>
      <c r="Q18" s="123" t="str">
        <f t="shared" si="11"/>
        <v/>
      </c>
      <c r="R18" s="76" t="e">
        <f t="shared" si="12"/>
        <v>#DIV/0!</v>
      </c>
      <c r="S18" s="4"/>
      <c r="T18" s="4"/>
      <c r="U18" s="4"/>
      <c r="V18" s="4"/>
      <c r="W18" s="77" t="e">
        <f t="shared" si="13"/>
        <v>#DIV/0!</v>
      </c>
      <c r="X18" s="77" t="e">
        <f t="shared" si="14"/>
        <v>#DIV/0!</v>
      </c>
      <c r="Y18" s="77" t="e" cm="1">
        <f t="array" ref="Y18">_xlfn.IFS(R18&gt;=0.8,5,R18&gt;=0.6,3,R18&gt;=0.2,1,R18&lt;0.2,0)</f>
        <v>#DIV/0!</v>
      </c>
      <c r="Z18" s="55" t="e">
        <f t="shared" si="42"/>
        <v>#DIV/0!</v>
      </c>
      <c r="AA18" s="5"/>
      <c r="AB18" s="5"/>
      <c r="AC18" s="5"/>
      <c r="AD18" s="5"/>
      <c r="AE18" s="5"/>
      <c r="AF18" s="5"/>
      <c r="AG18" s="5"/>
      <c r="AH18" s="5"/>
      <c r="AI18" s="5"/>
      <c r="AJ18" s="5"/>
      <c r="AK18" s="5"/>
      <c r="AL18" s="5"/>
      <c r="AM18" s="5"/>
      <c r="AN18" s="126" t="e">
        <f>IF(AND(Z18&gt;Summary!$C$5, Z18&lt;=Summary!$D$5),Summary!$B$5,IF(AND(Z18&gt;Summary!$C$6, Z18&lt;=Summary!$D$6),Summary!$B$6,IF(AND(Z18&gt;Summary!$C$7, Z18&lt;=Summary!$D$7),Summary!$B$7,Summary!$B$8)))</f>
        <v>#DIV/0!</v>
      </c>
      <c r="AO18" s="14"/>
      <c r="AP18" s="14"/>
      <c r="AQ18" s="14"/>
      <c r="AR18" s="14"/>
      <c r="AS18" s="14"/>
      <c r="AT18" s="5"/>
      <c r="AU18" s="4"/>
      <c r="AV18" s="4"/>
      <c r="AW18" s="6"/>
      <c r="AX18" s="6"/>
      <c r="AY18" s="33" t="str">
        <f t="shared" si="19"/>
        <v/>
      </c>
      <c r="AZ18" s="42"/>
      <c r="BA18" s="3"/>
      <c r="BB18" s="37" t="str">
        <f t="shared" si="43"/>
        <v/>
      </c>
      <c r="BC18" s="3"/>
      <c r="BD18" s="3"/>
      <c r="BE18" s="4"/>
      <c r="BF18" s="4"/>
      <c r="BG18" s="6"/>
      <c r="BH18" s="6"/>
      <c r="BI18" s="33" t="str">
        <f t="shared" si="20"/>
        <v/>
      </c>
      <c r="BJ18" s="42"/>
      <c r="BK18" s="3"/>
      <c r="BL18" s="37" t="str">
        <f t="shared" si="21"/>
        <v/>
      </c>
      <c r="BM18" s="3"/>
      <c r="BN18" s="3"/>
      <c r="BO18" s="4"/>
      <c r="BP18" s="4"/>
      <c r="BQ18" s="6"/>
      <c r="BR18" s="6"/>
      <c r="BS18" s="33" t="str">
        <f t="shared" si="22"/>
        <v/>
      </c>
      <c r="BT18" s="42"/>
      <c r="BU18" s="3"/>
      <c r="BV18" s="37" t="str">
        <f t="shared" si="23"/>
        <v/>
      </c>
      <c r="BW18" s="3"/>
      <c r="BX18" s="3"/>
      <c r="BY18" s="4"/>
      <c r="BZ18" s="4"/>
      <c r="CA18" s="6"/>
      <c r="CB18" s="6"/>
      <c r="CC18" s="33" t="str">
        <f t="shared" si="24"/>
        <v/>
      </c>
      <c r="CD18" s="42"/>
      <c r="CE18" s="3"/>
      <c r="CF18" s="37" t="str">
        <f t="shared" si="25"/>
        <v/>
      </c>
      <c r="CG18" s="3"/>
      <c r="CH18" s="3"/>
      <c r="CI18" s="4"/>
      <c r="CJ18" s="4"/>
      <c r="CK18" s="6"/>
      <c r="CL18" s="6"/>
      <c r="CM18" s="33" t="str">
        <f t="shared" si="26"/>
        <v/>
      </c>
      <c r="CN18" s="42"/>
      <c r="CO18" s="3"/>
      <c r="CP18" s="37" t="str">
        <f t="shared" si="27"/>
        <v/>
      </c>
      <c r="CQ18" s="3"/>
      <c r="CR18" s="3"/>
      <c r="CS18" s="4"/>
      <c r="CT18" s="4"/>
      <c r="CU18" s="6"/>
      <c r="CV18" s="6"/>
      <c r="CW18" s="33" t="str">
        <f t="shared" si="28"/>
        <v/>
      </c>
      <c r="CX18" s="42"/>
      <c r="CY18" s="3"/>
      <c r="CZ18" s="37" t="str">
        <f t="shared" si="29"/>
        <v/>
      </c>
      <c r="DA18" s="3"/>
      <c r="DB18" s="3"/>
      <c r="DC18" s="4"/>
      <c r="DD18" s="4"/>
      <c r="DE18" s="6"/>
      <c r="DF18" s="6"/>
      <c r="DG18" s="33" t="str">
        <f t="shared" si="30"/>
        <v/>
      </c>
      <c r="DH18" s="42"/>
      <c r="DI18" s="3"/>
      <c r="DJ18" s="37" t="str">
        <f t="shared" si="31"/>
        <v/>
      </c>
      <c r="DK18" s="3"/>
      <c r="DL18" s="3"/>
      <c r="DM18" s="4"/>
      <c r="DN18" s="4"/>
      <c r="DO18" s="6"/>
      <c r="DP18" s="6"/>
      <c r="DQ18" s="33" t="str">
        <f t="shared" si="32"/>
        <v/>
      </c>
      <c r="DR18" s="42"/>
      <c r="DS18" s="3"/>
      <c r="DT18" s="37" t="str">
        <f t="shared" si="33"/>
        <v/>
      </c>
      <c r="DU18" s="3"/>
      <c r="DV18" s="3"/>
      <c r="DW18" s="4"/>
      <c r="DX18" s="4"/>
      <c r="DY18" s="6"/>
      <c r="DZ18" s="6"/>
      <c r="EA18" s="33" t="str">
        <f t="shared" si="34"/>
        <v/>
      </c>
      <c r="EB18" s="42"/>
      <c r="EC18" s="3"/>
      <c r="ED18" s="37" t="str">
        <f t="shared" si="35"/>
        <v/>
      </c>
      <c r="EE18" s="3"/>
      <c r="EF18" s="3"/>
      <c r="EG18" s="4"/>
      <c r="EH18" s="4"/>
      <c r="EI18" s="6"/>
      <c r="EJ18" s="6"/>
      <c r="EK18" s="33" t="str">
        <f t="shared" si="36"/>
        <v/>
      </c>
      <c r="EL18" s="42"/>
      <c r="EM18" s="3"/>
      <c r="EN18" s="37" t="str">
        <f t="shared" si="37"/>
        <v/>
      </c>
      <c r="EO18" s="3"/>
      <c r="EP18" s="3"/>
      <c r="EQ18" s="4"/>
      <c r="ER18" s="4"/>
      <c r="ES18" s="6"/>
      <c r="ET18" s="6"/>
      <c r="EU18" s="33" t="str">
        <f t="shared" si="38"/>
        <v/>
      </c>
      <c r="EV18" s="42"/>
      <c r="EW18" s="3"/>
      <c r="EX18" s="37" t="str">
        <f t="shared" si="39"/>
        <v/>
      </c>
      <c r="EY18" s="3"/>
      <c r="EZ18" s="3"/>
      <c r="FA18" s="4"/>
      <c r="FB18" s="4"/>
      <c r="FC18" s="6"/>
      <c r="FD18" s="6"/>
      <c r="FE18" s="33" t="str">
        <f t="shared" si="40"/>
        <v/>
      </c>
      <c r="FF18" s="42"/>
      <c r="FG18" s="3"/>
      <c r="FH18" s="37" t="str">
        <f t="shared" si="41"/>
        <v/>
      </c>
      <c r="FI18" s="3"/>
      <c r="FJ18" s="3"/>
    </row>
    <row r="19" spans="2:166" ht="42" customHeight="1">
      <c r="B19" s="3"/>
      <c r="C19" s="3"/>
      <c r="D19" s="3"/>
      <c r="E19" s="4"/>
      <c r="F19" s="123" t="str">
        <f t="shared" si="0"/>
        <v/>
      </c>
      <c r="G19" s="123" t="str">
        <f t="shared" si="1"/>
        <v/>
      </c>
      <c r="H19" s="123" t="str">
        <f t="shared" si="2"/>
        <v/>
      </c>
      <c r="I19" s="123" t="str">
        <f t="shared" si="3"/>
        <v/>
      </c>
      <c r="J19" s="123" t="str">
        <f t="shared" si="44"/>
        <v/>
      </c>
      <c r="K19" s="123" t="str">
        <f t="shared" si="5"/>
        <v/>
      </c>
      <c r="L19" s="123" t="str">
        <f t="shared" si="6"/>
        <v/>
      </c>
      <c r="M19" s="123" t="str">
        <f t="shared" si="7"/>
        <v/>
      </c>
      <c r="N19" s="123" t="str">
        <f t="shared" si="8"/>
        <v/>
      </c>
      <c r="O19" s="123" t="str">
        <f t="shared" si="9"/>
        <v/>
      </c>
      <c r="P19" s="123" t="str">
        <f t="shared" si="10"/>
        <v/>
      </c>
      <c r="Q19" s="123" t="str">
        <f t="shared" si="11"/>
        <v/>
      </c>
      <c r="R19" s="76" t="e">
        <f t="shared" si="12"/>
        <v>#DIV/0!</v>
      </c>
      <c r="S19" s="4"/>
      <c r="T19" s="4"/>
      <c r="U19" s="4"/>
      <c r="V19" s="4"/>
      <c r="W19" s="77" t="e">
        <f t="shared" si="13"/>
        <v>#DIV/0!</v>
      </c>
      <c r="X19" s="77" t="e">
        <f t="shared" si="14"/>
        <v>#DIV/0!</v>
      </c>
      <c r="Y19" s="77" t="e" cm="1">
        <f t="array" ref="Y19">_xlfn.IFS(R19&gt;=0.8,5,R19&gt;=0.6,3,R19&gt;=0.2,1,R19&lt;0.2,0)</f>
        <v>#DIV/0!</v>
      </c>
      <c r="Z19" s="55" t="e">
        <f t="shared" si="42"/>
        <v>#DIV/0!</v>
      </c>
      <c r="AA19" s="5"/>
      <c r="AB19" s="5"/>
      <c r="AC19" s="5"/>
      <c r="AD19" s="5"/>
      <c r="AE19" s="5"/>
      <c r="AF19" s="5"/>
      <c r="AG19" s="5"/>
      <c r="AH19" s="5"/>
      <c r="AI19" s="5"/>
      <c r="AJ19" s="5"/>
      <c r="AK19" s="5"/>
      <c r="AL19" s="5"/>
      <c r="AM19" s="5"/>
      <c r="AN19" s="126" t="e">
        <f>IF(AND(Z19&gt;Summary!$C$5, Z19&lt;=Summary!$D$5),Summary!$B$5,IF(AND(Z19&gt;Summary!$C$6, Z19&lt;=Summary!$D$6),Summary!$B$6,IF(AND(Z19&gt;Summary!$C$7, Z19&lt;=Summary!$D$7),Summary!$B$7,Summary!$B$8)))</f>
        <v>#DIV/0!</v>
      </c>
      <c r="AO19" s="14"/>
      <c r="AP19" s="14"/>
      <c r="AQ19" s="14"/>
      <c r="AR19" s="14"/>
      <c r="AS19" s="14"/>
      <c r="AT19" s="5"/>
      <c r="AU19" s="4"/>
      <c r="AV19" s="4"/>
      <c r="AW19" s="6"/>
      <c r="AX19" s="6"/>
      <c r="AY19" s="33" t="str">
        <f t="shared" si="19"/>
        <v/>
      </c>
      <c r="AZ19" s="42"/>
      <c r="BA19" s="3"/>
      <c r="BB19" s="37" t="str">
        <f t="shared" si="43"/>
        <v/>
      </c>
      <c r="BC19" s="3"/>
      <c r="BD19" s="3"/>
      <c r="BE19" s="4"/>
      <c r="BF19" s="4"/>
      <c r="BG19" s="6"/>
      <c r="BH19" s="6"/>
      <c r="BI19" s="33" t="str">
        <f t="shared" si="20"/>
        <v/>
      </c>
      <c r="BJ19" s="42"/>
      <c r="BK19" s="3"/>
      <c r="BL19" s="37" t="str">
        <f t="shared" si="21"/>
        <v/>
      </c>
      <c r="BM19" s="3"/>
      <c r="BN19" s="3"/>
      <c r="BO19" s="4"/>
      <c r="BP19" s="4"/>
      <c r="BQ19" s="6"/>
      <c r="BR19" s="6"/>
      <c r="BS19" s="33" t="str">
        <f t="shared" si="22"/>
        <v/>
      </c>
      <c r="BT19" s="42"/>
      <c r="BU19" s="3"/>
      <c r="BV19" s="37" t="str">
        <f t="shared" si="23"/>
        <v/>
      </c>
      <c r="BW19" s="3"/>
      <c r="BX19" s="3"/>
      <c r="BY19" s="4"/>
      <c r="BZ19" s="4"/>
      <c r="CA19" s="6"/>
      <c r="CB19" s="6"/>
      <c r="CC19" s="33" t="str">
        <f t="shared" si="24"/>
        <v/>
      </c>
      <c r="CD19" s="42"/>
      <c r="CE19" s="3"/>
      <c r="CF19" s="37" t="str">
        <f t="shared" si="25"/>
        <v/>
      </c>
      <c r="CG19" s="3"/>
      <c r="CH19" s="3"/>
      <c r="CI19" s="4"/>
      <c r="CJ19" s="4"/>
      <c r="CK19" s="6"/>
      <c r="CL19" s="6"/>
      <c r="CM19" s="33" t="str">
        <f t="shared" si="26"/>
        <v/>
      </c>
      <c r="CN19" s="42"/>
      <c r="CO19" s="3"/>
      <c r="CP19" s="37" t="str">
        <f t="shared" si="27"/>
        <v/>
      </c>
      <c r="CQ19" s="3"/>
      <c r="CR19" s="3"/>
      <c r="CS19" s="4"/>
      <c r="CT19" s="4"/>
      <c r="CU19" s="6"/>
      <c r="CV19" s="6"/>
      <c r="CW19" s="33" t="str">
        <f t="shared" si="28"/>
        <v/>
      </c>
      <c r="CX19" s="42"/>
      <c r="CY19" s="3"/>
      <c r="CZ19" s="37" t="str">
        <f t="shared" si="29"/>
        <v/>
      </c>
      <c r="DA19" s="3"/>
      <c r="DB19" s="3"/>
      <c r="DC19" s="4"/>
      <c r="DD19" s="4"/>
      <c r="DE19" s="6"/>
      <c r="DF19" s="6"/>
      <c r="DG19" s="33" t="str">
        <f t="shared" si="30"/>
        <v/>
      </c>
      <c r="DH19" s="42"/>
      <c r="DI19" s="3"/>
      <c r="DJ19" s="37" t="str">
        <f t="shared" si="31"/>
        <v/>
      </c>
      <c r="DK19" s="3"/>
      <c r="DL19" s="3"/>
      <c r="DM19" s="4"/>
      <c r="DN19" s="4"/>
      <c r="DO19" s="6"/>
      <c r="DP19" s="6"/>
      <c r="DQ19" s="33" t="str">
        <f t="shared" si="32"/>
        <v/>
      </c>
      <c r="DR19" s="42"/>
      <c r="DS19" s="3"/>
      <c r="DT19" s="37" t="str">
        <f t="shared" si="33"/>
        <v/>
      </c>
      <c r="DU19" s="3"/>
      <c r="DV19" s="3"/>
      <c r="DW19" s="4"/>
      <c r="DX19" s="4"/>
      <c r="DY19" s="6"/>
      <c r="DZ19" s="6"/>
      <c r="EA19" s="33" t="str">
        <f t="shared" si="34"/>
        <v/>
      </c>
      <c r="EB19" s="42"/>
      <c r="EC19" s="3"/>
      <c r="ED19" s="37" t="str">
        <f t="shared" si="35"/>
        <v/>
      </c>
      <c r="EE19" s="3"/>
      <c r="EF19" s="3"/>
      <c r="EG19" s="4"/>
      <c r="EH19" s="4"/>
      <c r="EI19" s="6"/>
      <c r="EJ19" s="6"/>
      <c r="EK19" s="33" t="str">
        <f t="shared" si="36"/>
        <v/>
      </c>
      <c r="EL19" s="42"/>
      <c r="EM19" s="3"/>
      <c r="EN19" s="37" t="str">
        <f t="shared" si="37"/>
        <v/>
      </c>
      <c r="EO19" s="3"/>
      <c r="EP19" s="3"/>
      <c r="EQ19" s="4"/>
      <c r="ER19" s="4"/>
      <c r="ES19" s="6"/>
      <c r="ET19" s="6"/>
      <c r="EU19" s="33" t="str">
        <f t="shared" si="38"/>
        <v/>
      </c>
      <c r="EV19" s="42"/>
      <c r="EW19" s="3"/>
      <c r="EX19" s="37" t="str">
        <f t="shared" si="39"/>
        <v/>
      </c>
      <c r="EY19" s="3"/>
      <c r="EZ19" s="3"/>
      <c r="FA19" s="4"/>
      <c r="FB19" s="4"/>
      <c r="FC19" s="6"/>
      <c r="FD19" s="6"/>
      <c r="FE19" s="33" t="str">
        <f t="shared" si="40"/>
        <v/>
      </c>
      <c r="FF19" s="42"/>
      <c r="FG19" s="3"/>
      <c r="FH19" s="37" t="str">
        <f t="shared" si="41"/>
        <v/>
      </c>
      <c r="FI19" s="3"/>
      <c r="FJ19" s="3"/>
    </row>
    <row r="20" spans="2:166" ht="42" customHeight="1">
      <c r="B20" s="3"/>
      <c r="C20" s="3"/>
      <c r="D20" s="3"/>
      <c r="E20" s="4"/>
      <c r="F20" s="123" t="str">
        <f t="shared" si="0"/>
        <v/>
      </c>
      <c r="G20" s="123" t="str">
        <f t="shared" si="1"/>
        <v/>
      </c>
      <c r="H20" s="123" t="str">
        <f t="shared" si="2"/>
        <v/>
      </c>
      <c r="I20" s="123" t="str">
        <f t="shared" si="3"/>
        <v/>
      </c>
      <c r="J20" s="123" t="str">
        <f t="shared" si="44"/>
        <v/>
      </c>
      <c r="K20" s="123" t="str">
        <f t="shared" si="5"/>
        <v/>
      </c>
      <c r="L20" s="123" t="str">
        <f t="shared" si="6"/>
        <v/>
      </c>
      <c r="M20" s="123" t="str">
        <f t="shared" si="7"/>
        <v/>
      </c>
      <c r="N20" s="123" t="str">
        <f t="shared" si="8"/>
        <v/>
      </c>
      <c r="O20" s="123" t="str">
        <f t="shared" si="9"/>
        <v/>
      </c>
      <c r="P20" s="123" t="str">
        <f t="shared" si="10"/>
        <v/>
      </c>
      <c r="Q20" s="123" t="str">
        <f t="shared" si="11"/>
        <v/>
      </c>
      <c r="R20" s="76" t="e">
        <f t="shared" si="12"/>
        <v>#DIV/0!</v>
      </c>
      <c r="S20" s="4"/>
      <c r="T20" s="4"/>
      <c r="U20" s="4"/>
      <c r="V20" s="4"/>
      <c r="W20" s="77" t="e">
        <f t="shared" si="13"/>
        <v>#DIV/0!</v>
      </c>
      <c r="X20" s="77" t="e">
        <f t="shared" si="14"/>
        <v>#DIV/0!</v>
      </c>
      <c r="Y20" s="77" t="e" cm="1">
        <f t="array" ref="Y20">_xlfn.IFS(R20&gt;=0.8,5,R20&gt;=0.6,3,R20&gt;=0.2,1,R20&lt;0.2,0)</f>
        <v>#DIV/0!</v>
      </c>
      <c r="Z20" s="55" t="e">
        <f t="shared" si="42"/>
        <v>#DIV/0!</v>
      </c>
      <c r="AA20" s="5"/>
      <c r="AB20" s="5"/>
      <c r="AC20" s="5"/>
      <c r="AD20" s="5"/>
      <c r="AE20" s="5"/>
      <c r="AF20" s="5"/>
      <c r="AG20" s="5"/>
      <c r="AH20" s="5"/>
      <c r="AI20" s="5"/>
      <c r="AJ20" s="5"/>
      <c r="AK20" s="5"/>
      <c r="AL20" s="5"/>
      <c r="AM20" s="5"/>
      <c r="AN20" s="126" t="e">
        <f>IF(AND(Z20&gt;Summary!$C$5, Z20&lt;=Summary!$D$5),Summary!$B$5,IF(AND(Z20&gt;Summary!$C$6, Z20&lt;=Summary!$D$6),Summary!$B$6,IF(AND(Z20&gt;Summary!$C$7, Z20&lt;=Summary!$D$7),Summary!$B$7,Summary!$B$8)))</f>
        <v>#DIV/0!</v>
      </c>
      <c r="AO20" s="14"/>
      <c r="AP20" s="14"/>
      <c r="AQ20" s="14"/>
      <c r="AR20" s="14"/>
      <c r="AS20" s="14"/>
      <c r="AT20" s="5"/>
      <c r="AU20" s="4"/>
      <c r="AV20" s="4"/>
      <c r="AW20" s="6"/>
      <c r="AX20" s="6"/>
      <c r="AY20" s="33" t="str">
        <f t="shared" si="19"/>
        <v/>
      </c>
      <c r="AZ20" s="42"/>
      <c r="BA20" s="3"/>
      <c r="BB20" s="37" t="str">
        <f t="shared" si="43"/>
        <v/>
      </c>
      <c r="BC20" s="3"/>
      <c r="BD20" s="3"/>
      <c r="BE20" s="4"/>
      <c r="BF20" s="4"/>
      <c r="BG20" s="6"/>
      <c r="BH20" s="6"/>
      <c r="BI20" s="33" t="str">
        <f t="shared" si="20"/>
        <v/>
      </c>
      <c r="BJ20" s="42"/>
      <c r="BK20" s="3"/>
      <c r="BL20" s="37" t="str">
        <f t="shared" si="21"/>
        <v/>
      </c>
      <c r="BM20" s="3"/>
      <c r="BN20" s="3"/>
      <c r="BO20" s="4"/>
      <c r="BP20" s="4"/>
      <c r="BQ20" s="6"/>
      <c r="BR20" s="6"/>
      <c r="BS20" s="33" t="str">
        <f t="shared" si="22"/>
        <v/>
      </c>
      <c r="BT20" s="42"/>
      <c r="BU20" s="3"/>
      <c r="BV20" s="37" t="str">
        <f t="shared" si="23"/>
        <v/>
      </c>
      <c r="BW20" s="3"/>
      <c r="BX20" s="3"/>
      <c r="BY20" s="4"/>
      <c r="BZ20" s="4"/>
      <c r="CA20" s="6"/>
      <c r="CB20" s="6"/>
      <c r="CC20" s="33" t="str">
        <f t="shared" si="24"/>
        <v/>
      </c>
      <c r="CD20" s="42"/>
      <c r="CE20" s="3"/>
      <c r="CF20" s="37" t="str">
        <f t="shared" si="25"/>
        <v/>
      </c>
      <c r="CG20" s="3"/>
      <c r="CH20" s="3"/>
      <c r="CI20" s="4"/>
      <c r="CJ20" s="4"/>
      <c r="CK20" s="6"/>
      <c r="CL20" s="6"/>
      <c r="CM20" s="33" t="str">
        <f t="shared" si="26"/>
        <v/>
      </c>
      <c r="CN20" s="42"/>
      <c r="CO20" s="3"/>
      <c r="CP20" s="37" t="str">
        <f t="shared" si="27"/>
        <v/>
      </c>
      <c r="CQ20" s="3"/>
      <c r="CR20" s="3"/>
      <c r="CS20" s="4"/>
      <c r="CT20" s="4"/>
      <c r="CU20" s="6"/>
      <c r="CV20" s="6"/>
      <c r="CW20" s="33" t="str">
        <f t="shared" si="28"/>
        <v/>
      </c>
      <c r="CX20" s="42"/>
      <c r="CY20" s="3"/>
      <c r="CZ20" s="37" t="str">
        <f t="shared" si="29"/>
        <v/>
      </c>
      <c r="DA20" s="3"/>
      <c r="DB20" s="3"/>
      <c r="DC20" s="4"/>
      <c r="DD20" s="4"/>
      <c r="DE20" s="6"/>
      <c r="DF20" s="6"/>
      <c r="DG20" s="33" t="str">
        <f t="shared" si="30"/>
        <v/>
      </c>
      <c r="DH20" s="42"/>
      <c r="DI20" s="3"/>
      <c r="DJ20" s="37" t="str">
        <f t="shared" si="31"/>
        <v/>
      </c>
      <c r="DK20" s="3"/>
      <c r="DL20" s="3"/>
      <c r="DM20" s="4"/>
      <c r="DN20" s="4"/>
      <c r="DO20" s="6"/>
      <c r="DP20" s="6"/>
      <c r="DQ20" s="33" t="str">
        <f t="shared" si="32"/>
        <v/>
      </c>
      <c r="DR20" s="42"/>
      <c r="DS20" s="3"/>
      <c r="DT20" s="37" t="str">
        <f t="shared" si="33"/>
        <v/>
      </c>
      <c r="DU20" s="3"/>
      <c r="DV20" s="3"/>
      <c r="DW20" s="4"/>
      <c r="DX20" s="4"/>
      <c r="DY20" s="6"/>
      <c r="DZ20" s="6"/>
      <c r="EA20" s="33" t="str">
        <f t="shared" si="34"/>
        <v/>
      </c>
      <c r="EB20" s="42"/>
      <c r="EC20" s="3"/>
      <c r="ED20" s="37" t="str">
        <f t="shared" si="35"/>
        <v/>
      </c>
      <c r="EE20" s="3"/>
      <c r="EF20" s="3"/>
      <c r="EG20" s="4"/>
      <c r="EH20" s="4"/>
      <c r="EI20" s="6"/>
      <c r="EJ20" s="6"/>
      <c r="EK20" s="33" t="str">
        <f t="shared" si="36"/>
        <v/>
      </c>
      <c r="EL20" s="42"/>
      <c r="EM20" s="3"/>
      <c r="EN20" s="37" t="str">
        <f t="shared" si="37"/>
        <v/>
      </c>
      <c r="EO20" s="3"/>
      <c r="EP20" s="3"/>
      <c r="EQ20" s="4"/>
      <c r="ER20" s="4"/>
      <c r="ES20" s="6"/>
      <c r="ET20" s="6"/>
      <c r="EU20" s="33" t="str">
        <f t="shared" si="38"/>
        <v/>
      </c>
      <c r="EV20" s="42"/>
      <c r="EW20" s="3"/>
      <c r="EX20" s="37" t="str">
        <f t="shared" si="39"/>
        <v/>
      </c>
      <c r="EY20" s="3"/>
      <c r="EZ20" s="3"/>
      <c r="FA20" s="4"/>
      <c r="FB20" s="4"/>
      <c r="FC20" s="6"/>
      <c r="FD20" s="6"/>
      <c r="FE20" s="33" t="str">
        <f t="shared" si="40"/>
        <v/>
      </c>
      <c r="FF20" s="42"/>
      <c r="FG20" s="3"/>
      <c r="FH20" s="37" t="str">
        <f t="shared" si="41"/>
        <v/>
      </c>
      <c r="FI20" s="3"/>
      <c r="FJ20" s="3"/>
    </row>
    <row r="21" spans="2:166" ht="42" customHeight="1">
      <c r="B21" s="3"/>
      <c r="C21" s="3"/>
      <c r="D21" s="3"/>
      <c r="E21" s="4"/>
      <c r="F21" s="123" t="str">
        <f t="shared" si="0"/>
        <v/>
      </c>
      <c r="G21" s="123" t="str">
        <f t="shared" si="1"/>
        <v/>
      </c>
      <c r="H21" s="123" t="str">
        <f t="shared" si="2"/>
        <v/>
      </c>
      <c r="I21" s="123" t="str">
        <f t="shared" si="3"/>
        <v/>
      </c>
      <c r="J21" s="123" t="str">
        <f t="shared" si="44"/>
        <v/>
      </c>
      <c r="K21" s="123" t="str">
        <f t="shared" si="5"/>
        <v/>
      </c>
      <c r="L21" s="123" t="str">
        <f t="shared" si="6"/>
        <v/>
      </c>
      <c r="M21" s="123" t="str">
        <f t="shared" si="7"/>
        <v/>
      </c>
      <c r="N21" s="123" t="str">
        <f t="shared" si="8"/>
        <v/>
      </c>
      <c r="O21" s="123" t="str">
        <f t="shared" si="9"/>
        <v/>
      </c>
      <c r="P21" s="123" t="str">
        <f t="shared" si="10"/>
        <v/>
      </c>
      <c r="Q21" s="123" t="str">
        <f t="shared" si="11"/>
        <v/>
      </c>
      <c r="R21" s="76" t="e">
        <f t="shared" si="12"/>
        <v>#DIV/0!</v>
      </c>
      <c r="S21" s="4"/>
      <c r="T21" s="4"/>
      <c r="U21" s="4"/>
      <c r="V21" s="4"/>
      <c r="W21" s="77" t="e">
        <f t="shared" si="13"/>
        <v>#DIV/0!</v>
      </c>
      <c r="X21" s="77" t="e">
        <f t="shared" si="14"/>
        <v>#DIV/0!</v>
      </c>
      <c r="Y21" s="77" t="e" cm="1">
        <f t="array" ref="Y21">_xlfn.IFS(R21&gt;=0.8,5,R21&gt;=0.6,3,R21&gt;=0.2,1,R21&lt;0.2,0)</f>
        <v>#DIV/0!</v>
      </c>
      <c r="Z21" s="55" t="e">
        <f t="shared" si="42"/>
        <v>#DIV/0!</v>
      </c>
      <c r="AA21" s="5"/>
      <c r="AB21" s="5"/>
      <c r="AC21" s="5"/>
      <c r="AD21" s="5"/>
      <c r="AE21" s="5"/>
      <c r="AF21" s="5"/>
      <c r="AG21" s="5"/>
      <c r="AH21" s="5"/>
      <c r="AI21" s="5"/>
      <c r="AJ21" s="5"/>
      <c r="AK21" s="5"/>
      <c r="AL21" s="5"/>
      <c r="AM21" s="5"/>
      <c r="AN21" s="126" t="e">
        <f>IF(AND(Z21&gt;Summary!$C$5, Z21&lt;=Summary!$D$5),Summary!$B$5,IF(AND(Z21&gt;Summary!$C$6, Z21&lt;=Summary!$D$6),Summary!$B$6,IF(AND(Z21&gt;Summary!$C$7, Z21&lt;=Summary!$D$7),Summary!$B$7,Summary!$B$8)))</f>
        <v>#DIV/0!</v>
      </c>
      <c r="AO21" s="14"/>
      <c r="AP21" s="14"/>
      <c r="AQ21" s="14"/>
      <c r="AR21" s="14"/>
      <c r="AS21" s="14"/>
      <c r="AT21" s="5"/>
      <c r="AU21" s="4"/>
      <c r="AV21" s="4"/>
      <c r="AW21" s="6"/>
      <c r="AX21" s="6"/>
      <c r="AY21" s="33" t="str">
        <f t="shared" si="19"/>
        <v/>
      </c>
      <c r="AZ21" s="42"/>
      <c r="BA21" s="3"/>
      <c r="BB21" s="37" t="str">
        <f t="shared" si="43"/>
        <v/>
      </c>
      <c r="BC21" s="3"/>
      <c r="BD21" s="3"/>
      <c r="BE21" s="4"/>
      <c r="BF21" s="4"/>
      <c r="BG21" s="6"/>
      <c r="BH21" s="6"/>
      <c r="BI21" s="33" t="str">
        <f t="shared" si="20"/>
        <v/>
      </c>
      <c r="BJ21" s="42"/>
      <c r="BK21" s="3"/>
      <c r="BL21" s="37" t="str">
        <f t="shared" si="21"/>
        <v/>
      </c>
      <c r="BM21" s="3"/>
      <c r="BN21" s="3"/>
      <c r="BO21" s="4"/>
      <c r="BP21" s="4"/>
      <c r="BQ21" s="6"/>
      <c r="BR21" s="6"/>
      <c r="BS21" s="33" t="str">
        <f t="shared" si="22"/>
        <v/>
      </c>
      <c r="BT21" s="42"/>
      <c r="BU21" s="3"/>
      <c r="BV21" s="37" t="str">
        <f t="shared" si="23"/>
        <v/>
      </c>
      <c r="BW21" s="3"/>
      <c r="BX21" s="3"/>
      <c r="BY21" s="4"/>
      <c r="BZ21" s="4"/>
      <c r="CA21" s="6"/>
      <c r="CB21" s="6"/>
      <c r="CC21" s="33" t="str">
        <f t="shared" si="24"/>
        <v/>
      </c>
      <c r="CD21" s="42"/>
      <c r="CE21" s="3"/>
      <c r="CF21" s="37" t="str">
        <f t="shared" si="25"/>
        <v/>
      </c>
      <c r="CG21" s="3"/>
      <c r="CH21" s="3"/>
      <c r="CI21" s="4"/>
      <c r="CJ21" s="4"/>
      <c r="CK21" s="6"/>
      <c r="CL21" s="6"/>
      <c r="CM21" s="33" t="str">
        <f t="shared" si="26"/>
        <v/>
      </c>
      <c r="CN21" s="42"/>
      <c r="CO21" s="3"/>
      <c r="CP21" s="37" t="str">
        <f t="shared" si="27"/>
        <v/>
      </c>
      <c r="CQ21" s="3"/>
      <c r="CR21" s="3"/>
      <c r="CS21" s="4"/>
      <c r="CT21" s="4"/>
      <c r="CU21" s="6"/>
      <c r="CV21" s="6"/>
      <c r="CW21" s="33" t="str">
        <f t="shared" si="28"/>
        <v/>
      </c>
      <c r="CX21" s="42"/>
      <c r="CY21" s="3"/>
      <c r="CZ21" s="37" t="str">
        <f t="shared" si="29"/>
        <v/>
      </c>
      <c r="DA21" s="3"/>
      <c r="DB21" s="3"/>
      <c r="DC21" s="4"/>
      <c r="DD21" s="4"/>
      <c r="DE21" s="6"/>
      <c r="DF21" s="6"/>
      <c r="DG21" s="33" t="str">
        <f t="shared" si="30"/>
        <v/>
      </c>
      <c r="DH21" s="42"/>
      <c r="DI21" s="3"/>
      <c r="DJ21" s="37" t="str">
        <f t="shared" si="31"/>
        <v/>
      </c>
      <c r="DK21" s="3"/>
      <c r="DL21" s="3"/>
      <c r="DM21" s="4"/>
      <c r="DN21" s="4"/>
      <c r="DO21" s="6"/>
      <c r="DP21" s="6"/>
      <c r="DQ21" s="33" t="str">
        <f t="shared" si="32"/>
        <v/>
      </c>
      <c r="DR21" s="42"/>
      <c r="DS21" s="3"/>
      <c r="DT21" s="37" t="str">
        <f t="shared" si="33"/>
        <v/>
      </c>
      <c r="DU21" s="3"/>
      <c r="DV21" s="3"/>
      <c r="DW21" s="4"/>
      <c r="DX21" s="4"/>
      <c r="DY21" s="6"/>
      <c r="DZ21" s="6"/>
      <c r="EA21" s="33" t="str">
        <f t="shared" si="34"/>
        <v/>
      </c>
      <c r="EB21" s="42"/>
      <c r="EC21" s="3"/>
      <c r="ED21" s="37" t="str">
        <f t="shared" si="35"/>
        <v/>
      </c>
      <c r="EE21" s="3"/>
      <c r="EF21" s="3"/>
      <c r="EG21" s="4"/>
      <c r="EH21" s="4"/>
      <c r="EI21" s="6"/>
      <c r="EJ21" s="6"/>
      <c r="EK21" s="33" t="str">
        <f t="shared" si="36"/>
        <v/>
      </c>
      <c r="EL21" s="42"/>
      <c r="EM21" s="3"/>
      <c r="EN21" s="37" t="str">
        <f t="shared" si="37"/>
        <v/>
      </c>
      <c r="EO21" s="3"/>
      <c r="EP21" s="3"/>
      <c r="EQ21" s="4"/>
      <c r="ER21" s="4"/>
      <c r="ES21" s="6"/>
      <c r="ET21" s="6"/>
      <c r="EU21" s="33" t="str">
        <f t="shared" si="38"/>
        <v/>
      </c>
      <c r="EV21" s="42"/>
      <c r="EW21" s="3"/>
      <c r="EX21" s="37" t="str">
        <f t="shared" si="39"/>
        <v/>
      </c>
      <c r="EY21" s="3"/>
      <c r="EZ21" s="3"/>
      <c r="FA21" s="4"/>
      <c r="FB21" s="4"/>
      <c r="FC21" s="6"/>
      <c r="FD21" s="6"/>
      <c r="FE21" s="33" t="str">
        <f t="shared" si="40"/>
        <v/>
      </c>
      <c r="FF21" s="42"/>
      <c r="FG21" s="3"/>
      <c r="FH21" s="37" t="str">
        <f t="shared" si="41"/>
        <v/>
      </c>
      <c r="FI21" s="3"/>
      <c r="FJ21" s="3"/>
    </row>
    <row r="22" spans="2:166" ht="42" customHeight="1">
      <c r="B22" s="3"/>
      <c r="C22" s="3"/>
      <c r="D22" s="3"/>
      <c r="E22" s="4"/>
      <c r="F22" s="123" t="str">
        <f t="shared" si="0"/>
        <v/>
      </c>
      <c r="G22" s="123" t="str">
        <f t="shared" si="1"/>
        <v/>
      </c>
      <c r="H22" s="123" t="str">
        <f t="shared" si="2"/>
        <v/>
      </c>
      <c r="I22" s="123" t="str">
        <f t="shared" si="3"/>
        <v/>
      </c>
      <c r="J22" s="123" t="str">
        <f t="shared" si="44"/>
        <v/>
      </c>
      <c r="K22" s="123" t="str">
        <f t="shared" si="5"/>
        <v/>
      </c>
      <c r="L22" s="123" t="str">
        <f t="shared" si="6"/>
        <v/>
      </c>
      <c r="M22" s="123" t="str">
        <f t="shared" si="7"/>
        <v/>
      </c>
      <c r="N22" s="123" t="str">
        <f t="shared" si="8"/>
        <v/>
      </c>
      <c r="O22" s="123" t="str">
        <f t="shared" si="9"/>
        <v/>
      </c>
      <c r="P22" s="123" t="str">
        <f t="shared" si="10"/>
        <v/>
      </c>
      <c r="Q22" s="123" t="str">
        <f t="shared" si="11"/>
        <v/>
      </c>
      <c r="R22" s="76" t="e">
        <f t="shared" si="12"/>
        <v>#DIV/0!</v>
      </c>
      <c r="S22" s="4"/>
      <c r="T22" s="4"/>
      <c r="U22" s="4"/>
      <c r="V22" s="4"/>
      <c r="W22" s="77" t="e">
        <f t="shared" si="13"/>
        <v>#DIV/0!</v>
      </c>
      <c r="X22" s="77" t="e">
        <f t="shared" si="14"/>
        <v>#DIV/0!</v>
      </c>
      <c r="Y22" s="77" t="e" cm="1">
        <f t="array" ref="Y22">_xlfn.IFS(R22&gt;=0.8,5,R22&gt;=0.6,3,R22&gt;=0.2,1,R22&lt;0.2,0)</f>
        <v>#DIV/0!</v>
      </c>
      <c r="Z22" s="55" t="e">
        <f t="shared" si="42"/>
        <v>#DIV/0!</v>
      </c>
      <c r="AA22" s="5"/>
      <c r="AB22" s="5"/>
      <c r="AC22" s="5"/>
      <c r="AD22" s="5"/>
      <c r="AE22" s="5"/>
      <c r="AF22" s="5"/>
      <c r="AG22" s="5"/>
      <c r="AH22" s="5"/>
      <c r="AI22" s="5"/>
      <c r="AJ22" s="5"/>
      <c r="AK22" s="5"/>
      <c r="AL22" s="5"/>
      <c r="AM22" s="5"/>
      <c r="AN22" s="126" t="e">
        <f>IF(AND(Z22&gt;Summary!$C$5, Z22&lt;=Summary!$D$5),Summary!$B$5,IF(AND(Z22&gt;Summary!$C$6, Z22&lt;=Summary!$D$6),Summary!$B$6,IF(AND(Z22&gt;Summary!$C$7, Z22&lt;=Summary!$D$7),Summary!$B$7,Summary!$B$8)))</f>
        <v>#DIV/0!</v>
      </c>
      <c r="AO22" s="14"/>
      <c r="AP22" s="14"/>
      <c r="AQ22" s="14"/>
      <c r="AR22" s="14"/>
      <c r="AS22" s="14"/>
      <c r="AT22" s="5"/>
      <c r="AU22" s="4"/>
      <c r="AV22" s="4"/>
      <c r="AW22" s="6"/>
      <c r="AX22" s="6"/>
      <c r="AY22" s="33" t="str">
        <f t="shared" si="19"/>
        <v/>
      </c>
      <c r="AZ22" s="42"/>
      <c r="BA22" s="3"/>
      <c r="BB22" s="37" t="str">
        <f t="shared" si="43"/>
        <v/>
      </c>
      <c r="BC22" s="3"/>
      <c r="BD22" s="3"/>
      <c r="BE22" s="4"/>
      <c r="BF22" s="4"/>
      <c r="BG22" s="6"/>
      <c r="BH22" s="6"/>
      <c r="BI22" s="33" t="str">
        <f t="shared" si="20"/>
        <v/>
      </c>
      <c r="BJ22" s="42"/>
      <c r="BK22" s="3"/>
      <c r="BL22" s="37" t="str">
        <f t="shared" si="21"/>
        <v/>
      </c>
      <c r="BM22" s="3"/>
      <c r="BN22" s="3"/>
      <c r="BO22" s="4"/>
      <c r="BP22" s="4"/>
      <c r="BQ22" s="6"/>
      <c r="BR22" s="6"/>
      <c r="BS22" s="33" t="str">
        <f t="shared" si="22"/>
        <v/>
      </c>
      <c r="BT22" s="42"/>
      <c r="BU22" s="3"/>
      <c r="BV22" s="37" t="str">
        <f t="shared" si="23"/>
        <v/>
      </c>
      <c r="BW22" s="3"/>
      <c r="BX22" s="3"/>
      <c r="BY22" s="4"/>
      <c r="BZ22" s="4"/>
      <c r="CA22" s="6"/>
      <c r="CB22" s="6"/>
      <c r="CC22" s="33" t="str">
        <f t="shared" si="24"/>
        <v/>
      </c>
      <c r="CD22" s="42"/>
      <c r="CE22" s="3"/>
      <c r="CF22" s="37" t="str">
        <f t="shared" si="25"/>
        <v/>
      </c>
      <c r="CG22" s="3"/>
      <c r="CH22" s="3"/>
      <c r="CI22" s="4"/>
      <c r="CJ22" s="4"/>
      <c r="CK22" s="6"/>
      <c r="CL22" s="6"/>
      <c r="CM22" s="33" t="str">
        <f t="shared" si="26"/>
        <v/>
      </c>
      <c r="CN22" s="42"/>
      <c r="CO22" s="3"/>
      <c r="CP22" s="37" t="str">
        <f t="shared" si="27"/>
        <v/>
      </c>
      <c r="CQ22" s="3"/>
      <c r="CR22" s="3"/>
      <c r="CS22" s="4"/>
      <c r="CT22" s="4"/>
      <c r="CU22" s="6"/>
      <c r="CV22" s="6"/>
      <c r="CW22" s="33" t="str">
        <f t="shared" si="28"/>
        <v/>
      </c>
      <c r="CX22" s="42"/>
      <c r="CY22" s="3"/>
      <c r="CZ22" s="37" t="str">
        <f t="shared" si="29"/>
        <v/>
      </c>
      <c r="DA22" s="3"/>
      <c r="DB22" s="3"/>
      <c r="DC22" s="4"/>
      <c r="DD22" s="4"/>
      <c r="DE22" s="6"/>
      <c r="DF22" s="6"/>
      <c r="DG22" s="33" t="str">
        <f t="shared" si="30"/>
        <v/>
      </c>
      <c r="DH22" s="42"/>
      <c r="DI22" s="3"/>
      <c r="DJ22" s="37" t="str">
        <f t="shared" si="31"/>
        <v/>
      </c>
      <c r="DK22" s="3"/>
      <c r="DL22" s="3"/>
      <c r="DM22" s="4"/>
      <c r="DN22" s="4"/>
      <c r="DO22" s="6"/>
      <c r="DP22" s="6"/>
      <c r="DQ22" s="33" t="str">
        <f t="shared" si="32"/>
        <v/>
      </c>
      <c r="DR22" s="42"/>
      <c r="DS22" s="3"/>
      <c r="DT22" s="37" t="str">
        <f t="shared" si="33"/>
        <v/>
      </c>
      <c r="DU22" s="3"/>
      <c r="DV22" s="3"/>
      <c r="DW22" s="4"/>
      <c r="DX22" s="4"/>
      <c r="DY22" s="6"/>
      <c r="DZ22" s="6"/>
      <c r="EA22" s="33" t="str">
        <f t="shared" si="34"/>
        <v/>
      </c>
      <c r="EB22" s="42"/>
      <c r="EC22" s="3"/>
      <c r="ED22" s="37" t="str">
        <f t="shared" si="35"/>
        <v/>
      </c>
      <c r="EE22" s="3"/>
      <c r="EF22" s="3"/>
      <c r="EG22" s="4"/>
      <c r="EH22" s="4"/>
      <c r="EI22" s="6"/>
      <c r="EJ22" s="6"/>
      <c r="EK22" s="33" t="str">
        <f t="shared" si="36"/>
        <v/>
      </c>
      <c r="EL22" s="42"/>
      <c r="EM22" s="3"/>
      <c r="EN22" s="37" t="str">
        <f t="shared" si="37"/>
        <v/>
      </c>
      <c r="EO22" s="3"/>
      <c r="EP22" s="3"/>
      <c r="EQ22" s="4"/>
      <c r="ER22" s="4"/>
      <c r="ES22" s="6"/>
      <c r="ET22" s="6"/>
      <c r="EU22" s="33" t="str">
        <f t="shared" si="38"/>
        <v/>
      </c>
      <c r="EV22" s="42"/>
      <c r="EW22" s="3"/>
      <c r="EX22" s="37" t="str">
        <f t="shared" si="39"/>
        <v/>
      </c>
      <c r="EY22" s="3"/>
      <c r="EZ22" s="3"/>
      <c r="FA22" s="4"/>
      <c r="FB22" s="4"/>
      <c r="FC22" s="6"/>
      <c r="FD22" s="6"/>
      <c r="FE22" s="33" t="str">
        <f t="shared" si="40"/>
        <v/>
      </c>
      <c r="FF22" s="42"/>
      <c r="FG22" s="3"/>
      <c r="FH22" s="37" t="str">
        <f t="shared" si="41"/>
        <v/>
      </c>
      <c r="FI22" s="3"/>
      <c r="FJ22" s="3"/>
    </row>
    <row r="23" spans="2:166" ht="42" customHeight="1">
      <c r="B23" s="3"/>
      <c r="C23" s="3"/>
      <c r="D23" s="3"/>
      <c r="E23" s="4"/>
      <c r="F23" s="123" t="str">
        <f t="shared" si="0"/>
        <v/>
      </c>
      <c r="G23" s="123" t="str">
        <f t="shared" si="1"/>
        <v/>
      </c>
      <c r="H23" s="123" t="str">
        <f t="shared" si="2"/>
        <v/>
      </c>
      <c r="I23" s="123" t="str">
        <f t="shared" si="3"/>
        <v/>
      </c>
      <c r="J23" s="123" t="str">
        <f t="shared" si="44"/>
        <v/>
      </c>
      <c r="K23" s="123" t="str">
        <f t="shared" si="5"/>
        <v/>
      </c>
      <c r="L23" s="123" t="str">
        <f t="shared" si="6"/>
        <v/>
      </c>
      <c r="M23" s="123" t="str">
        <f t="shared" si="7"/>
        <v/>
      </c>
      <c r="N23" s="123" t="str">
        <f t="shared" si="8"/>
        <v/>
      </c>
      <c r="O23" s="123" t="str">
        <f t="shared" si="9"/>
        <v/>
      </c>
      <c r="P23" s="123" t="str">
        <f t="shared" si="10"/>
        <v/>
      </c>
      <c r="Q23" s="123" t="str">
        <f t="shared" si="11"/>
        <v/>
      </c>
      <c r="R23" s="76" t="e">
        <f t="shared" si="12"/>
        <v>#DIV/0!</v>
      </c>
      <c r="S23" s="4"/>
      <c r="T23" s="4"/>
      <c r="U23" s="4"/>
      <c r="V23" s="4"/>
      <c r="W23" s="77" t="e">
        <f t="shared" si="13"/>
        <v>#DIV/0!</v>
      </c>
      <c r="X23" s="77" t="e">
        <f t="shared" si="14"/>
        <v>#DIV/0!</v>
      </c>
      <c r="Y23" s="77" t="e" cm="1">
        <f t="array" ref="Y23">_xlfn.IFS(R23&gt;=0.8,5,R23&gt;=0.6,3,R23&gt;=0.2,1,R23&lt;0.2,0)</f>
        <v>#DIV/0!</v>
      </c>
      <c r="Z23" s="55" t="e">
        <f t="shared" si="42"/>
        <v>#DIV/0!</v>
      </c>
      <c r="AA23" s="5"/>
      <c r="AB23" s="5"/>
      <c r="AC23" s="5"/>
      <c r="AD23" s="5"/>
      <c r="AE23" s="5"/>
      <c r="AF23" s="5"/>
      <c r="AG23" s="5"/>
      <c r="AH23" s="5"/>
      <c r="AI23" s="5"/>
      <c r="AJ23" s="5"/>
      <c r="AK23" s="5"/>
      <c r="AL23" s="5"/>
      <c r="AM23" s="5"/>
      <c r="AN23" s="126" t="e">
        <f>IF(AND(Z23&gt;Summary!$C$5, Z23&lt;=Summary!$D$5),Summary!$B$5,IF(AND(Z23&gt;Summary!$C$6, Z23&lt;=Summary!$D$6),Summary!$B$6,IF(AND(Z23&gt;Summary!$C$7, Z23&lt;=Summary!$D$7),Summary!$B$7,Summary!$B$8)))</f>
        <v>#DIV/0!</v>
      </c>
      <c r="AO23" s="14"/>
      <c r="AP23" s="14"/>
      <c r="AQ23" s="14"/>
      <c r="AR23" s="14"/>
      <c r="AS23" s="14"/>
      <c r="AT23" s="5"/>
      <c r="AU23" s="4"/>
      <c r="AV23" s="4"/>
      <c r="AW23" s="6"/>
      <c r="AX23" s="6"/>
      <c r="AY23" s="33" t="str">
        <f t="shared" si="19"/>
        <v/>
      </c>
      <c r="AZ23" s="42"/>
      <c r="BA23" s="3"/>
      <c r="BB23" s="37" t="str">
        <f t="shared" si="43"/>
        <v/>
      </c>
      <c r="BC23" s="3"/>
      <c r="BD23" s="3"/>
      <c r="BE23" s="4"/>
      <c r="BF23" s="4"/>
      <c r="BG23" s="6"/>
      <c r="BH23" s="6"/>
      <c r="BI23" s="33" t="str">
        <f t="shared" si="20"/>
        <v/>
      </c>
      <c r="BJ23" s="42"/>
      <c r="BK23" s="3"/>
      <c r="BL23" s="37" t="str">
        <f t="shared" si="21"/>
        <v/>
      </c>
      <c r="BM23" s="3"/>
      <c r="BN23" s="3"/>
      <c r="BO23" s="4"/>
      <c r="BP23" s="4"/>
      <c r="BQ23" s="6"/>
      <c r="BR23" s="6"/>
      <c r="BS23" s="33" t="str">
        <f t="shared" si="22"/>
        <v/>
      </c>
      <c r="BT23" s="42"/>
      <c r="BU23" s="3"/>
      <c r="BV23" s="37" t="str">
        <f t="shared" si="23"/>
        <v/>
      </c>
      <c r="BW23" s="3"/>
      <c r="BX23" s="3"/>
      <c r="BY23" s="4"/>
      <c r="BZ23" s="4"/>
      <c r="CA23" s="6"/>
      <c r="CB23" s="6"/>
      <c r="CC23" s="33" t="str">
        <f t="shared" si="24"/>
        <v/>
      </c>
      <c r="CD23" s="42"/>
      <c r="CE23" s="3"/>
      <c r="CF23" s="37" t="str">
        <f t="shared" si="25"/>
        <v/>
      </c>
      <c r="CG23" s="3"/>
      <c r="CH23" s="3"/>
      <c r="CI23" s="4"/>
      <c r="CJ23" s="4"/>
      <c r="CK23" s="6"/>
      <c r="CL23" s="6"/>
      <c r="CM23" s="33" t="str">
        <f t="shared" si="26"/>
        <v/>
      </c>
      <c r="CN23" s="42"/>
      <c r="CO23" s="3"/>
      <c r="CP23" s="37" t="str">
        <f t="shared" si="27"/>
        <v/>
      </c>
      <c r="CQ23" s="3"/>
      <c r="CR23" s="3"/>
      <c r="CS23" s="4"/>
      <c r="CT23" s="4"/>
      <c r="CU23" s="6"/>
      <c r="CV23" s="6"/>
      <c r="CW23" s="33" t="str">
        <f t="shared" si="28"/>
        <v/>
      </c>
      <c r="CX23" s="42"/>
      <c r="CY23" s="3"/>
      <c r="CZ23" s="37" t="str">
        <f t="shared" si="29"/>
        <v/>
      </c>
      <c r="DA23" s="3"/>
      <c r="DB23" s="3"/>
      <c r="DC23" s="4"/>
      <c r="DD23" s="4"/>
      <c r="DE23" s="6"/>
      <c r="DF23" s="6"/>
      <c r="DG23" s="33" t="str">
        <f t="shared" si="30"/>
        <v/>
      </c>
      <c r="DH23" s="42"/>
      <c r="DI23" s="3"/>
      <c r="DJ23" s="37" t="str">
        <f t="shared" si="31"/>
        <v/>
      </c>
      <c r="DK23" s="3"/>
      <c r="DL23" s="3"/>
      <c r="DM23" s="4"/>
      <c r="DN23" s="4"/>
      <c r="DO23" s="6"/>
      <c r="DP23" s="6"/>
      <c r="DQ23" s="33" t="str">
        <f t="shared" si="32"/>
        <v/>
      </c>
      <c r="DR23" s="42"/>
      <c r="DS23" s="3"/>
      <c r="DT23" s="37" t="str">
        <f t="shared" si="33"/>
        <v/>
      </c>
      <c r="DU23" s="3"/>
      <c r="DV23" s="3"/>
      <c r="DW23" s="4"/>
      <c r="DX23" s="4"/>
      <c r="DY23" s="6"/>
      <c r="DZ23" s="6"/>
      <c r="EA23" s="33" t="str">
        <f t="shared" si="34"/>
        <v/>
      </c>
      <c r="EB23" s="42"/>
      <c r="EC23" s="3"/>
      <c r="ED23" s="37" t="str">
        <f t="shared" si="35"/>
        <v/>
      </c>
      <c r="EE23" s="3"/>
      <c r="EF23" s="3"/>
      <c r="EG23" s="4"/>
      <c r="EH23" s="4"/>
      <c r="EI23" s="6"/>
      <c r="EJ23" s="6"/>
      <c r="EK23" s="33" t="str">
        <f t="shared" si="36"/>
        <v/>
      </c>
      <c r="EL23" s="42"/>
      <c r="EM23" s="3"/>
      <c r="EN23" s="37" t="str">
        <f t="shared" si="37"/>
        <v/>
      </c>
      <c r="EO23" s="3"/>
      <c r="EP23" s="3"/>
      <c r="EQ23" s="4"/>
      <c r="ER23" s="4"/>
      <c r="ES23" s="6"/>
      <c r="ET23" s="6"/>
      <c r="EU23" s="33" t="str">
        <f t="shared" si="38"/>
        <v/>
      </c>
      <c r="EV23" s="42"/>
      <c r="EW23" s="3"/>
      <c r="EX23" s="37" t="str">
        <f t="shared" si="39"/>
        <v/>
      </c>
      <c r="EY23" s="3"/>
      <c r="EZ23" s="3"/>
      <c r="FA23" s="4"/>
      <c r="FB23" s="4"/>
      <c r="FC23" s="6"/>
      <c r="FD23" s="6"/>
      <c r="FE23" s="33" t="str">
        <f t="shared" si="40"/>
        <v/>
      </c>
      <c r="FF23" s="42"/>
      <c r="FG23" s="3"/>
      <c r="FH23" s="37" t="str">
        <f t="shared" si="41"/>
        <v/>
      </c>
      <c r="FI23" s="3"/>
      <c r="FJ23" s="3"/>
    </row>
    <row r="24" spans="2:166" ht="42" customHeight="1">
      <c r="B24" s="3"/>
      <c r="C24" s="3"/>
      <c r="D24" s="3"/>
      <c r="E24" s="4"/>
      <c r="F24" s="123" t="str">
        <f t="shared" si="0"/>
        <v/>
      </c>
      <c r="G24" s="123" t="str">
        <f t="shared" si="1"/>
        <v/>
      </c>
      <c r="H24" s="123" t="str">
        <f t="shared" si="2"/>
        <v/>
      </c>
      <c r="I24" s="123" t="str">
        <f t="shared" si="3"/>
        <v/>
      </c>
      <c r="J24" s="123" t="str">
        <f t="shared" si="44"/>
        <v/>
      </c>
      <c r="K24" s="123" t="str">
        <f t="shared" si="5"/>
        <v/>
      </c>
      <c r="L24" s="123" t="str">
        <f t="shared" si="6"/>
        <v/>
      </c>
      <c r="M24" s="123" t="str">
        <f t="shared" si="7"/>
        <v/>
      </c>
      <c r="N24" s="123" t="str">
        <f t="shared" si="8"/>
        <v/>
      </c>
      <c r="O24" s="123" t="str">
        <f t="shared" si="9"/>
        <v/>
      </c>
      <c r="P24" s="123" t="str">
        <f t="shared" si="10"/>
        <v/>
      </c>
      <c r="Q24" s="123" t="str">
        <f t="shared" si="11"/>
        <v/>
      </c>
      <c r="R24" s="76" t="e">
        <f t="shared" si="12"/>
        <v>#DIV/0!</v>
      </c>
      <c r="S24" s="4"/>
      <c r="T24" s="4"/>
      <c r="U24" s="4"/>
      <c r="V24" s="4"/>
      <c r="W24" s="77" t="e">
        <f t="shared" si="13"/>
        <v>#DIV/0!</v>
      </c>
      <c r="X24" s="77" t="e">
        <f t="shared" si="14"/>
        <v>#DIV/0!</v>
      </c>
      <c r="Y24" s="77" t="e" cm="1">
        <f t="array" ref="Y24">_xlfn.IFS(R24&gt;=0.8,5,R24&gt;=0.6,3,R24&gt;=0.2,1,R24&lt;0.2,0)</f>
        <v>#DIV/0!</v>
      </c>
      <c r="Z24" s="55" t="e">
        <f t="shared" si="42"/>
        <v>#DIV/0!</v>
      </c>
      <c r="AA24" s="5"/>
      <c r="AB24" s="5"/>
      <c r="AC24" s="5"/>
      <c r="AD24" s="5"/>
      <c r="AE24" s="5"/>
      <c r="AF24" s="5"/>
      <c r="AG24" s="5"/>
      <c r="AH24" s="5"/>
      <c r="AI24" s="5"/>
      <c r="AJ24" s="5"/>
      <c r="AK24" s="5"/>
      <c r="AL24" s="5"/>
      <c r="AM24" s="5"/>
      <c r="AN24" s="126" t="e">
        <f>IF(AND(Z24&gt;Summary!$C$5, Z24&lt;=Summary!$D$5),Summary!$B$5,IF(AND(Z24&gt;Summary!$C$6, Z24&lt;=Summary!$D$6),Summary!$B$6,IF(AND(Z24&gt;Summary!$C$7, Z24&lt;=Summary!$D$7),Summary!$B$7,Summary!$B$8)))</f>
        <v>#DIV/0!</v>
      </c>
      <c r="AO24" s="14"/>
      <c r="AP24" s="14"/>
      <c r="AQ24" s="14"/>
      <c r="AR24" s="14"/>
      <c r="AS24" s="14"/>
      <c r="AT24" s="5"/>
      <c r="AU24" s="4"/>
      <c r="AV24" s="4"/>
      <c r="AW24" s="6"/>
      <c r="AX24" s="6"/>
      <c r="AY24" s="33" t="str">
        <f t="shared" si="19"/>
        <v/>
      </c>
      <c r="AZ24" s="42"/>
      <c r="BA24" s="3"/>
      <c r="BB24" s="37" t="str">
        <f t="shared" si="43"/>
        <v/>
      </c>
      <c r="BC24" s="3"/>
      <c r="BD24" s="3"/>
      <c r="BE24" s="4"/>
      <c r="BF24" s="4"/>
      <c r="BG24" s="6"/>
      <c r="BH24" s="6"/>
      <c r="BI24" s="33" t="str">
        <f t="shared" si="20"/>
        <v/>
      </c>
      <c r="BJ24" s="42"/>
      <c r="BK24" s="3"/>
      <c r="BL24" s="37" t="str">
        <f t="shared" si="21"/>
        <v/>
      </c>
      <c r="BM24" s="3"/>
      <c r="BN24" s="3"/>
      <c r="BO24" s="4"/>
      <c r="BP24" s="4"/>
      <c r="BQ24" s="6"/>
      <c r="BR24" s="6"/>
      <c r="BS24" s="33" t="str">
        <f t="shared" si="22"/>
        <v/>
      </c>
      <c r="BT24" s="42"/>
      <c r="BU24" s="3"/>
      <c r="BV24" s="37" t="str">
        <f t="shared" si="23"/>
        <v/>
      </c>
      <c r="BW24" s="3"/>
      <c r="BX24" s="3"/>
      <c r="BY24" s="4"/>
      <c r="BZ24" s="4"/>
      <c r="CA24" s="6"/>
      <c r="CB24" s="6"/>
      <c r="CC24" s="33" t="str">
        <f t="shared" si="24"/>
        <v/>
      </c>
      <c r="CD24" s="42"/>
      <c r="CE24" s="3"/>
      <c r="CF24" s="37" t="str">
        <f t="shared" si="25"/>
        <v/>
      </c>
      <c r="CG24" s="3"/>
      <c r="CH24" s="3"/>
      <c r="CI24" s="4"/>
      <c r="CJ24" s="4"/>
      <c r="CK24" s="6"/>
      <c r="CL24" s="6"/>
      <c r="CM24" s="33" t="str">
        <f t="shared" si="26"/>
        <v/>
      </c>
      <c r="CN24" s="42"/>
      <c r="CO24" s="3"/>
      <c r="CP24" s="37" t="str">
        <f t="shared" si="27"/>
        <v/>
      </c>
      <c r="CQ24" s="3"/>
      <c r="CR24" s="3"/>
      <c r="CS24" s="4"/>
      <c r="CT24" s="4"/>
      <c r="CU24" s="6"/>
      <c r="CV24" s="6"/>
      <c r="CW24" s="33" t="str">
        <f t="shared" si="28"/>
        <v/>
      </c>
      <c r="CX24" s="42"/>
      <c r="CY24" s="3"/>
      <c r="CZ24" s="37" t="str">
        <f t="shared" si="29"/>
        <v/>
      </c>
      <c r="DA24" s="3"/>
      <c r="DB24" s="3"/>
      <c r="DC24" s="4"/>
      <c r="DD24" s="4"/>
      <c r="DE24" s="6"/>
      <c r="DF24" s="6"/>
      <c r="DG24" s="33" t="str">
        <f t="shared" si="30"/>
        <v/>
      </c>
      <c r="DH24" s="42"/>
      <c r="DI24" s="3"/>
      <c r="DJ24" s="37" t="str">
        <f t="shared" si="31"/>
        <v/>
      </c>
      <c r="DK24" s="3"/>
      <c r="DL24" s="3"/>
      <c r="DM24" s="4"/>
      <c r="DN24" s="4"/>
      <c r="DO24" s="6"/>
      <c r="DP24" s="6"/>
      <c r="DQ24" s="33" t="str">
        <f t="shared" si="32"/>
        <v/>
      </c>
      <c r="DR24" s="42"/>
      <c r="DS24" s="3"/>
      <c r="DT24" s="37" t="str">
        <f t="shared" si="33"/>
        <v/>
      </c>
      <c r="DU24" s="3"/>
      <c r="DV24" s="3"/>
      <c r="DW24" s="4"/>
      <c r="DX24" s="4"/>
      <c r="DY24" s="6"/>
      <c r="DZ24" s="6"/>
      <c r="EA24" s="33" t="str">
        <f t="shared" si="34"/>
        <v/>
      </c>
      <c r="EB24" s="42"/>
      <c r="EC24" s="3"/>
      <c r="ED24" s="37" t="str">
        <f t="shared" si="35"/>
        <v/>
      </c>
      <c r="EE24" s="3"/>
      <c r="EF24" s="3"/>
      <c r="EG24" s="4"/>
      <c r="EH24" s="4"/>
      <c r="EI24" s="6"/>
      <c r="EJ24" s="6"/>
      <c r="EK24" s="33" t="str">
        <f t="shared" si="36"/>
        <v/>
      </c>
      <c r="EL24" s="42"/>
      <c r="EM24" s="3"/>
      <c r="EN24" s="37" t="str">
        <f t="shared" si="37"/>
        <v/>
      </c>
      <c r="EO24" s="3"/>
      <c r="EP24" s="3"/>
      <c r="EQ24" s="4"/>
      <c r="ER24" s="4"/>
      <c r="ES24" s="6"/>
      <c r="ET24" s="6"/>
      <c r="EU24" s="33" t="str">
        <f t="shared" si="38"/>
        <v/>
      </c>
      <c r="EV24" s="42"/>
      <c r="EW24" s="3"/>
      <c r="EX24" s="37" t="str">
        <f t="shared" si="39"/>
        <v/>
      </c>
      <c r="EY24" s="3"/>
      <c r="EZ24" s="3"/>
      <c r="FA24" s="4"/>
      <c r="FB24" s="4"/>
      <c r="FC24" s="6"/>
      <c r="FD24" s="6"/>
      <c r="FE24" s="33" t="str">
        <f t="shared" si="40"/>
        <v/>
      </c>
      <c r="FF24" s="42"/>
      <c r="FG24" s="3"/>
      <c r="FH24" s="37" t="str">
        <f t="shared" si="41"/>
        <v/>
      </c>
      <c r="FI24" s="3"/>
      <c r="FJ24" s="3"/>
    </row>
    <row r="25" spans="2:166" ht="42" customHeight="1">
      <c r="B25" s="3"/>
      <c r="C25" s="3"/>
      <c r="D25" s="3"/>
      <c r="E25" s="4"/>
      <c r="F25" s="123" t="str">
        <f t="shared" si="0"/>
        <v/>
      </c>
      <c r="G25" s="123" t="str">
        <f t="shared" si="1"/>
        <v/>
      </c>
      <c r="H25" s="123" t="str">
        <f t="shared" si="2"/>
        <v/>
      </c>
      <c r="I25" s="123" t="str">
        <f t="shared" si="3"/>
        <v/>
      </c>
      <c r="J25" s="123" t="str">
        <f t="shared" si="44"/>
        <v/>
      </c>
      <c r="K25" s="123" t="str">
        <f t="shared" si="5"/>
        <v/>
      </c>
      <c r="L25" s="123" t="str">
        <f t="shared" si="6"/>
        <v/>
      </c>
      <c r="M25" s="123" t="str">
        <f t="shared" si="7"/>
        <v/>
      </c>
      <c r="N25" s="123" t="str">
        <f t="shared" si="8"/>
        <v/>
      </c>
      <c r="O25" s="123" t="str">
        <f t="shared" si="9"/>
        <v/>
      </c>
      <c r="P25" s="123" t="str">
        <f t="shared" si="10"/>
        <v/>
      </c>
      <c r="Q25" s="123" t="str">
        <f t="shared" si="11"/>
        <v/>
      </c>
      <c r="R25" s="76" t="e">
        <f t="shared" si="12"/>
        <v>#DIV/0!</v>
      </c>
      <c r="S25" s="4"/>
      <c r="T25" s="4"/>
      <c r="U25" s="4"/>
      <c r="V25" s="4"/>
      <c r="W25" s="77" t="e">
        <f t="shared" si="13"/>
        <v>#DIV/0!</v>
      </c>
      <c r="X25" s="77" t="e">
        <f t="shared" si="14"/>
        <v>#DIV/0!</v>
      </c>
      <c r="Y25" s="77" t="e" cm="1">
        <f t="array" ref="Y25">_xlfn.IFS(R25&gt;=0.8,5,R25&gt;=0.6,3,R25&gt;=0.2,1,R25&lt;0.2,0)</f>
        <v>#DIV/0!</v>
      </c>
      <c r="Z25" s="55" t="e">
        <f t="shared" si="42"/>
        <v>#DIV/0!</v>
      </c>
      <c r="AA25" s="5"/>
      <c r="AB25" s="5"/>
      <c r="AC25" s="5"/>
      <c r="AD25" s="5"/>
      <c r="AE25" s="5"/>
      <c r="AF25" s="5"/>
      <c r="AG25" s="5"/>
      <c r="AH25" s="5"/>
      <c r="AI25" s="5"/>
      <c r="AJ25" s="5"/>
      <c r="AK25" s="5"/>
      <c r="AL25" s="5"/>
      <c r="AM25" s="5"/>
      <c r="AN25" s="126" t="e">
        <f>IF(AND(Z25&gt;Summary!$C$5, Z25&lt;=Summary!$D$5),Summary!$B$5,IF(AND(Z25&gt;Summary!$C$6, Z25&lt;=Summary!$D$6),Summary!$B$6,IF(AND(Z25&gt;Summary!$C$7, Z25&lt;=Summary!$D$7),Summary!$B$7,Summary!$B$8)))</f>
        <v>#DIV/0!</v>
      </c>
      <c r="AO25" s="14"/>
      <c r="AP25" s="14"/>
      <c r="AQ25" s="14"/>
      <c r="AR25" s="14"/>
      <c r="AS25" s="14"/>
      <c r="AT25" s="5"/>
      <c r="AU25" s="4"/>
      <c r="AV25" s="4"/>
      <c r="AW25" s="6"/>
      <c r="AX25" s="6"/>
      <c r="AY25" s="33" t="str">
        <f t="shared" si="19"/>
        <v/>
      </c>
      <c r="AZ25" s="42"/>
      <c r="BA25" s="3"/>
      <c r="BB25" s="37" t="str">
        <f t="shared" si="43"/>
        <v/>
      </c>
      <c r="BC25" s="3"/>
      <c r="BD25" s="3"/>
      <c r="BE25" s="4"/>
      <c r="BF25" s="4"/>
      <c r="BG25" s="6"/>
      <c r="BH25" s="6"/>
      <c r="BI25" s="33" t="str">
        <f t="shared" si="20"/>
        <v/>
      </c>
      <c r="BJ25" s="42"/>
      <c r="BK25" s="3"/>
      <c r="BL25" s="37" t="str">
        <f t="shared" si="21"/>
        <v/>
      </c>
      <c r="BM25" s="3"/>
      <c r="BN25" s="3"/>
      <c r="BO25" s="4"/>
      <c r="BP25" s="4"/>
      <c r="BQ25" s="6"/>
      <c r="BR25" s="6"/>
      <c r="BS25" s="33" t="str">
        <f t="shared" si="22"/>
        <v/>
      </c>
      <c r="BT25" s="42"/>
      <c r="BU25" s="3"/>
      <c r="BV25" s="37" t="str">
        <f t="shared" si="23"/>
        <v/>
      </c>
      <c r="BW25" s="3"/>
      <c r="BX25" s="3"/>
      <c r="BY25" s="4"/>
      <c r="BZ25" s="4"/>
      <c r="CA25" s="6"/>
      <c r="CB25" s="6"/>
      <c r="CC25" s="33" t="str">
        <f t="shared" si="24"/>
        <v/>
      </c>
      <c r="CD25" s="42"/>
      <c r="CE25" s="3"/>
      <c r="CF25" s="37" t="str">
        <f t="shared" si="25"/>
        <v/>
      </c>
      <c r="CG25" s="3"/>
      <c r="CH25" s="3"/>
      <c r="CI25" s="4"/>
      <c r="CJ25" s="4"/>
      <c r="CK25" s="6"/>
      <c r="CL25" s="6"/>
      <c r="CM25" s="33" t="str">
        <f t="shared" si="26"/>
        <v/>
      </c>
      <c r="CN25" s="42"/>
      <c r="CO25" s="3"/>
      <c r="CP25" s="37" t="str">
        <f t="shared" si="27"/>
        <v/>
      </c>
      <c r="CQ25" s="3"/>
      <c r="CR25" s="3"/>
      <c r="CS25" s="4"/>
      <c r="CT25" s="4"/>
      <c r="CU25" s="6"/>
      <c r="CV25" s="6"/>
      <c r="CW25" s="33" t="str">
        <f t="shared" si="28"/>
        <v/>
      </c>
      <c r="CX25" s="42"/>
      <c r="CY25" s="3"/>
      <c r="CZ25" s="37" t="str">
        <f t="shared" si="29"/>
        <v/>
      </c>
      <c r="DA25" s="3"/>
      <c r="DB25" s="3"/>
      <c r="DC25" s="4"/>
      <c r="DD25" s="4"/>
      <c r="DE25" s="6"/>
      <c r="DF25" s="6"/>
      <c r="DG25" s="33" t="str">
        <f t="shared" si="30"/>
        <v/>
      </c>
      <c r="DH25" s="42"/>
      <c r="DI25" s="3"/>
      <c r="DJ25" s="37" t="str">
        <f t="shared" si="31"/>
        <v/>
      </c>
      <c r="DK25" s="3"/>
      <c r="DL25" s="3"/>
      <c r="DM25" s="4"/>
      <c r="DN25" s="4"/>
      <c r="DO25" s="6"/>
      <c r="DP25" s="6"/>
      <c r="DQ25" s="33" t="str">
        <f t="shared" si="32"/>
        <v/>
      </c>
      <c r="DR25" s="42"/>
      <c r="DS25" s="3"/>
      <c r="DT25" s="37" t="str">
        <f t="shared" si="33"/>
        <v/>
      </c>
      <c r="DU25" s="3"/>
      <c r="DV25" s="3"/>
      <c r="DW25" s="4"/>
      <c r="DX25" s="4"/>
      <c r="DY25" s="6"/>
      <c r="DZ25" s="6"/>
      <c r="EA25" s="33" t="str">
        <f t="shared" si="34"/>
        <v/>
      </c>
      <c r="EB25" s="42"/>
      <c r="EC25" s="3"/>
      <c r="ED25" s="37" t="str">
        <f t="shared" si="35"/>
        <v/>
      </c>
      <c r="EE25" s="3"/>
      <c r="EF25" s="3"/>
      <c r="EG25" s="4"/>
      <c r="EH25" s="4"/>
      <c r="EI25" s="6"/>
      <c r="EJ25" s="6"/>
      <c r="EK25" s="33" t="str">
        <f t="shared" si="36"/>
        <v/>
      </c>
      <c r="EL25" s="42"/>
      <c r="EM25" s="3"/>
      <c r="EN25" s="37" t="str">
        <f t="shared" si="37"/>
        <v/>
      </c>
      <c r="EO25" s="3"/>
      <c r="EP25" s="3"/>
      <c r="EQ25" s="4"/>
      <c r="ER25" s="4"/>
      <c r="ES25" s="6"/>
      <c r="ET25" s="6"/>
      <c r="EU25" s="33" t="str">
        <f t="shared" si="38"/>
        <v/>
      </c>
      <c r="EV25" s="42"/>
      <c r="EW25" s="3"/>
      <c r="EX25" s="37" t="str">
        <f t="shared" si="39"/>
        <v/>
      </c>
      <c r="EY25" s="3"/>
      <c r="EZ25" s="3"/>
      <c r="FA25" s="4"/>
      <c r="FB25" s="4"/>
      <c r="FC25" s="6"/>
      <c r="FD25" s="6"/>
      <c r="FE25" s="33" t="str">
        <f t="shared" si="40"/>
        <v/>
      </c>
      <c r="FF25" s="42"/>
      <c r="FG25" s="3"/>
      <c r="FH25" s="37" t="str">
        <f t="shared" si="41"/>
        <v/>
      </c>
      <c r="FI25" s="3"/>
      <c r="FJ25" s="3"/>
    </row>
    <row r="26" spans="2:166" ht="42" customHeight="1">
      <c r="B26" s="3"/>
      <c r="C26" s="3"/>
      <c r="D26" s="3"/>
      <c r="E26" s="4"/>
      <c r="F26" s="123" t="str">
        <f t="shared" si="0"/>
        <v/>
      </c>
      <c r="G26" s="123" t="str">
        <f t="shared" si="1"/>
        <v/>
      </c>
      <c r="H26" s="123" t="str">
        <f t="shared" si="2"/>
        <v/>
      </c>
      <c r="I26" s="123" t="str">
        <f t="shared" si="3"/>
        <v/>
      </c>
      <c r="J26" s="123" t="str">
        <f t="shared" si="44"/>
        <v/>
      </c>
      <c r="K26" s="123" t="str">
        <f t="shared" si="5"/>
        <v/>
      </c>
      <c r="L26" s="123" t="str">
        <f t="shared" si="6"/>
        <v/>
      </c>
      <c r="M26" s="123" t="str">
        <f t="shared" si="7"/>
        <v/>
      </c>
      <c r="N26" s="123" t="str">
        <f t="shared" si="8"/>
        <v/>
      </c>
      <c r="O26" s="123" t="str">
        <f t="shared" si="9"/>
        <v/>
      </c>
      <c r="P26" s="123" t="str">
        <f t="shared" si="10"/>
        <v/>
      </c>
      <c r="Q26" s="123" t="str">
        <f t="shared" si="11"/>
        <v/>
      </c>
      <c r="R26" s="76" t="e">
        <f t="shared" si="12"/>
        <v>#DIV/0!</v>
      </c>
      <c r="S26" s="4"/>
      <c r="T26" s="4"/>
      <c r="U26" s="4"/>
      <c r="V26" s="4"/>
      <c r="W26" s="77" t="e">
        <f t="shared" si="13"/>
        <v>#DIV/0!</v>
      </c>
      <c r="X26" s="77" t="e">
        <f t="shared" si="14"/>
        <v>#DIV/0!</v>
      </c>
      <c r="Y26" s="77">
        <v>1.1499999999999999</v>
      </c>
      <c r="Z26" s="55" t="e">
        <f>SUM(S26:Y26)</f>
        <v>#DIV/0!</v>
      </c>
      <c r="AA26" s="5"/>
      <c r="AB26" s="5"/>
      <c r="AC26" s="5"/>
      <c r="AD26" s="5"/>
      <c r="AE26" s="5"/>
      <c r="AF26" s="5"/>
      <c r="AG26" s="5"/>
      <c r="AH26" s="5"/>
      <c r="AI26" s="5"/>
      <c r="AJ26" s="5"/>
      <c r="AK26" s="5"/>
      <c r="AL26" s="5"/>
      <c r="AM26" s="5"/>
      <c r="AN26" s="126" t="e">
        <f>IF(AND(Z26&gt;Summary!$C$5, Z26&lt;=Summary!$D$5),Summary!$B$5,IF(AND(Z26&gt;Summary!$C$6, Z26&lt;=Summary!$D$6),Summary!$B$6,IF(AND(Z26&gt;Summary!$C$7, Z26&lt;=Summary!$D$7),Summary!$B$7,Summary!$B$8)))</f>
        <v>#DIV/0!</v>
      </c>
      <c r="AO26" s="14"/>
      <c r="AP26" s="14"/>
      <c r="AQ26" s="14"/>
      <c r="AR26" s="14"/>
      <c r="AS26" s="14"/>
      <c r="AT26" s="5"/>
      <c r="AU26" s="4"/>
      <c r="AV26" s="4"/>
      <c r="AW26" s="6"/>
      <c r="AX26" s="6"/>
      <c r="AY26" s="33" t="str">
        <f t="shared" si="19"/>
        <v/>
      </c>
      <c r="AZ26" s="42"/>
      <c r="BA26" s="3"/>
      <c r="BB26" s="37" t="str">
        <f t="shared" si="43"/>
        <v/>
      </c>
      <c r="BC26" s="3"/>
      <c r="BD26" s="3"/>
      <c r="BE26" s="4"/>
      <c r="BF26" s="4"/>
      <c r="BG26" s="6"/>
      <c r="BH26" s="6"/>
      <c r="BI26" s="33" t="str">
        <f t="shared" si="20"/>
        <v/>
      </c>
      <c r="BJ26" s="42"/>
      <c r="BK26" s="3"/>
      <c r="BL26" s="37" t="str">
        <f t="shared" si="21"/>
        <v/>
      </c>
      <c r="BM26" s="3"/>
      <c r="BN26" s="3"/>
      <c r="BO26" s="4"/>
      <c r="BP26" s="4"/>
      <c r="BQ26" s="6"/>
      <c r="BR26" s="6"/>
      <c r="BS26" s="33" t="str">
        <f t="shared" si="22"/>
        <v/>
      </c>
      <c r="BT26" s="42"/>
      <c r="BU26" s="3"/>
      <c r="BV26" s="37" t="str">
        <f t="shared" si="23"/>
        <v/>
      </c>
      <c r="BW26" s="3"/>
      <c r="BX26" s="3"/>
      <c r="BY26" s="4"/>
      <c r="BZ26" s="4"/>
      <c r="CA26" s="6"/>
      <c r="CB26" s="6"/>
      <c r="CC26" s="33" t="str">
        <f t="shared" si="24"/>
        <v/>
      </c>
      <c r="CD26" s="42"/>
      <c r="CE26" s="3"/>
      <c r="CF26" s="37" t="str">
        <f t="shared" si="25"/>
        <v/>
      </c>
      <c r="CG26" s="3"/>
      <c r="CH26" s="3"/>
      <c r="CI26" s="4"/>
      <c r="CJ26" s="4"/>
      <c r="CK26" s="6"/>
      <c r="CL26" s="6"/>
      <c r="CM26" s="33" t="str">
        <f t="shared" si="26"/>
        <v/>
      </c>
      <c r="CN26" s="42"/>
      <c r="CO26" s="3"/>
      <c r="CP26" s="37" t="str">
        <f t="shared" si="27"/>
        <v/>
      </c>
      <c r="CQ26" s="3"/>
      <c r="CR26" s="3"/>
      <c r="CS26" s="4"/>
      <c r="CT26" s="4"/>
      <c r="CU26" s="6"/>
      <c r="CV26" s="6"/>
      <c r="CW26" s="33" t="str">
        <f t="shared" si="28"/>
        <v/>
      </c>
      <c r="CX26" s="42"/>
      <c r="CY26" s="3"/>
      <c r="CZ26" s="37" t="str">
        <f t="shared" si="29"/>
        <v/>
      </c>
      <c r="DA26" s="3"/>
      <c r="DB26" s="3"/>
      <c r="DC26" s="4"/>
      <c r="DD26" s="4"/>
      <c r="DE26" s="6"/>
      <c r="DF26" s="6"/>
      <c r="DG26" s="33" t="str">
        <f t="shared" si="30"/>
        <v/>
      </c>
      <c r="DH26" s="42"/>
      <c r="DI26" s="3"/>
      <c r="DJ26" s="37" t="str">
        <f t="shared" si="31"/>
        <v/>
      </c>
      <c r="DK26" s="3"/>
      <c r="DL26" s="3"/>
      <c r="DM26" s="4"/>
      <c r="DN26" s="4"/>
      <c r="DO26" s="6"/>
      <c r="DP26" s="6"/>
      <c r="DQ26" s="33" t="str">
        <f t="shared" si="32"/>
        <v/>
      </c>
      <c r="DR26" s="42"/>
      <c r="DS26" s="3"/>
      <c r="DT26" s="37" t="str">
        <f t="shared" si="33"/>
        <v/>
      </c>
      <c r="DU26" s="3"/>
      <c r="DV26" s="3"/>
      <c r="DW26" s="4"/>
      <c r="DX26" s="4"/>
      <c r="DY26" s="6"/>
      <c r="DZ26" s="6"/>
      <c r="EA26" s="33" t="str">
        <f t="shared" si="34"/>
        <v/>
      </c>
      <c r="EB26" s="42"/>
      <c r="EC26" s="3"/>
      <c r="ED26" s="37" t="str">
        <f t="shared" si="35"/>
        <v/>
      </c>
      <c r="EE26" s="3"/>
      <c r="EF26" s="3"/>
      <c r="EG26" s="4"/>
      <c r="EH26" s="4"/>
      <c r="EI26" s="6"/>
      <c r="EJ26" s="6"/>
      <c r="EK26" s="33" t="str">
        <f t="shared" si="36"/>
        <v/>
      </c>
      <c r="EL26" s="42"/>
      <c r="EM26" s="3"/>
      <c r="EN26" s="37" t="str">
        <f t="shared" si="37"/>
        <v/>
      </c>
      <c r="EO26" s="3"/>
      <c r="EP26" s="3"/>
      <c r="EQ26" s="4"/>
      <c r="ER26" s="4"/>
      <c r="ES26" s="6"/>
      <c r="ET26" s="6"/>
      <c r="EU26" s="33" t="str">
        <f t="shared" si="38"/>
        <v/>
      </c>
      <c r="EV26" s="42"/>
      <c r="EW26" s="3"/>
      <c r="EX26" s="37" t="str">
        <f t="shared" si="39"/>
        <v/>
      </c>
      <c r="EY26" s="3"/>
      <c r="EZ26" s="3"/>
      <c r="FA26" s="4"/>
      <c r="FB26" s="4"/>
      <c r="FC26" s="6"/>
      <c r="FD26" s="6"/>
      <c r="FE26" s="33" t="str">
        <f t="shared" si="40"/>
        <v/>
      </c>
      <c r="FF26" s="42"/>
      <c r="FG26" s="3"/>
      <c r="FH26" s="37" t="str">
        <f t="shared" si="41"/>
        <v/>
      </c>
      <c r="FI26" s="3"/>
      <c r="FJ26" s="3"/>
    </row>
    <row r="27" spans="2:166" ht="42" customHeight="1">
      <c r="B27" s="3"/>
      <c r="C27" s="3"/>
      <c r="D27" s="3"/>
      <c r="E27" s="4"/>
      <c r="F27" s="123" t="str">
        <f t="shared" si="0"/>
        <v/>
      </c>
      <c r="G27" s="123" t="str">
        <f t="shared" si="1"/>
        <v/>
      </c>
      <c r="H27" s="123" t="str">
        <f t="shared" si="2"/>
        <v/>
      </c>
      <c r="I27" s="123" t="str">
        <f t="shared" si="3"/>
        <v/>
      </c>
      <c r="J27" s="123" t="str">
        <f t="shared" si="44"/>
        <v/>
      </c>
      <c r="K27" s="123" t="str">
        <f t="shared" si="5"/>
        <v/>
      </c>
      <c r="L27" s="123" t="str">
        <f t="shared" si="6"/>
        <v/>
      </c>
      <c r="M27" s="123" t="str">
        <f t="shared" si="7"/>
        <v/>
      </c>
      <c r="N27" s="123" t="str">
        <f t="shared" si="8"/>
        <v/>
      </c>
      <c r="O27" s="123" t="str">
        <f t="shared" si="9"/>
        <v/>
      </c>
      <c r="P27" s="123" t="str">
        <f t="shared" si="10"/>
        <v/>
      </c>
      <c r="Q27" s="123" t="str">
        <f t="shared" si="11"/>
        <v/>
      </c>
      <c r="R27" s="76" t="e">
        <f t="shared" si="12"/>
        <v>#DIV/0!</v>
      </c>
      <c r="S27" s="4"/>
      <c r="T27" s="4"/>
      <c r="U27" s="4"/>
      <c r="V27" s="4"/>
      <c r="W27" s="77" t="e">
        <f t="shared" si="13"/>
        <v>#DIV/0!</v>
      </c>
      <c r="X27" s="77" t="e">
        <f t="shared" si="14"/>
        <v>#DIV/0!</v>
      </c>
      <c r="Y27" s="77" t="e" cm="1">
        <f t="array" ref="Y27">_xlfn.IFS(R27&gt;=0.8,5,R27&gt;=0.6,3,R27&gt;=0.2,1,R27&lt;0.2,0)</f>
        <v>#DIV/0!</v>
      </c>
      <c r="Z27" s="55" t="e">
        <f t="shared" ref="Z27:Z31" si="45">SUM(S27:Y27)</f>
        <v>#DIV/0!</v>
      </c>
      <c r="AA27" s="5"/>
      <c r="AB27" s="5"/>
      <c r="AC27" s="5"/>
      <c r="AD27" s="5"/>
      <c r="AE27" s="5"/>
      <c r="AF27" s="5"/>
      <c r="AG27" s="5"/>
      <c r="AH27" s="5"/>
      <c r="AI27" s="5"/>
      <c r="AJ27" s="5"/>
      <c r="AK27" s="5"/>
      <c r="AL27" s="5"/>
      <c r="AM27" s="5"/>
      <c r="AN27" s="126" t="e">
        <f>IF(AND(Z27&gt;Summary!$C$5, Z27&lt;=Summary!$D$5),Summary!$B$5,IF(AND(Z27&gt;Summary!$C$6, Z27&lt;=Summary!$D$6),Summary!$B$6,IF(AND(Z27&gt;Summary!$C$7, Z27&lt;=Summary!$D$7),Summary!$B$7,Summary!$B$8)))</f>
        <v>#DIV/0!</v>
      </c>
      <c r="AO27" s="14"/>
      <c r="AP27" s="14"/>
      <c r="AQ27" s="14"/>
      <c r="AR27" s="14"/>
      <c r="AS27" s="14"/>
      <c r="AT27" s="5"/>
      <c r="AU27" s="4"/>
      <c r="AV27" s="4"/>
      <c r="AW27" s="6"/>
      <c r="AX27" s="6"/>
      <c r="AY27" s="33" t="str">
        <f t="shared" si="19"/>
        <v/>
      </c>
      <c r="AZ27" s="42"/>
      <c r="BA27" s="3"/>
      <c r="BB27" s="37" t="str">
        <f t="shared" si="43"/>
        <v/>
      </c>
      <c r="BC27" s="3"/>
      <c r="BD27" s="3"/>
      <c r="BE27" s="4"/>
      <c r="BF27" s="4"/>
      <c r="BG27" s="6"/>
      <c r="BH27" s="6"/>
      <c r="BI27" s="33" t="str">
        <f t="shared" si="20"/>
        <v/>
      </c>
      <c r="BJ27" s="42"/>
      <c r="BK27" s="3"/>
      <c r="BL27" s="37" t="str">
        <f t="shared" si="21"/>
        <v/>
      </c>
      <c r="BM27" s="3"/>
      <c r="BN27" s="3"/>
      <c r="BO27" s="4"/>
      <c r="BP27" s="4"/>
      <c r="BQ27" s="6"/>
      <c r="BR27" s="6"/>
      <c r="BS27" s="33" t="str">
        <f t="shared" si="22"/>
        <v/>
      </c>
      <c r="BT27" s="42"/>
      <c r="BU27" s="3"/>
      <c r="BV27" s="37" t="str">
        <f t="shared" si="23"/>
        <v/>
      </c>
      <c r="BW27" s="3"/>
      <c r="BX27" s="3"/>
      <c r="BY27" s="4"/>
      <c r="BZ27" s="4"/>
      <c r="CA27" s="6"/>
      <c r="CB27" s="6"/>
      <c r="CC27" s="33" t="str">
        <f t="shared" si="24"/>
        <v/>
      </c>
      <c r="CD27" s="42"/>
      <c r="CE27" s="3"/>
      <c r="CF27" s="37" t="str">
        <f t="shared" si="25"/>
        <v/>
      </c>
      <c r="CG27" s="3"/>
      <c r="CH27" s="3"/>
      <c r="CI27" s="4"/>
      <c r="CJ27" s="4"/>
      <c r="CK27" s="6"/>
      <c r="CL27" s="6"/>
      <c r="CM27" s="33" t="str">
        <f t="shared" si="26"/>
        <v/>
      </c>
      <c r="CN27" s="42"/>
      <c r="CO27" s="3"/>
      <c r="CP27" s="37" t="str">
        <f t="shared" si="27"/>
        <v/>
      </c>
      <c r="CQ27" s="3"/>
      <c r="CR27" s="3"/>
      <c r="CS27" s="4"/>
      <c r="CT27" s="4"/>
      <c r="CU27" s="6"/>
      <c r="CV27" s="6"/>
      <c r="CW27" s="33" t="str">
        <f t="shared" si="28"/>
        <v/>
      </c>
      <c r="CX27" s="42"/>
      <c r="CY27" s="3"/>
      <c r="CZ27" s="37" t="str">
        <f t="shared" si="29"/>
        <v/>
      </c>
      <c r="DA27" s="3"/>
      <c r="DB27" s="3"/>
      <c r="DC27" s="4"/>
      <c r="DD27" s="4"/>
      <c r="DE27" s="6"/>
      <c r="DF27" s="6"/>
      <c r="DG27" s="33" t="str">
        <f t="shared" si="30"/>
        <v/>
      </c>
      <c r="DH27" s="42"/>
      <c r="DI27" s="3"/>
      <c r="DJ27" s="37" t="str">
        <f t="shared" si="31"/>
        <v/>
      </c>
      <c r="DK27" s="3"/>
      <c r="DL27" s="3"/>
      <c r="DM27" s="4"/>
      <c r="DN27" s="4"/>
      <c r="DO27" s="6"/>
      <c r="DP27" s="6"/>
      <c r="DQ27" s="33" t="str">
        <f t="shared" si="32"/>
        <v/>
      </c>
      <c r="DR27" s="42"/>
      <c r="DS27" s="3"/>
      <c r="DT27" s="37" t="str">
        <f t="shared" si="33"/>
        <v/>
      </c>
      <c r="DU27" s="3"/>
      <c r="DV27" s="3"/>
      <c r="DW27" s="4"/>
      <c r="DX27" s="4"/>
      <c r="DY27" s="6"/>
      <c r="DZ27" s="6"/>
      <c r="EA27" s="33" t="str">
        <f t="shared" si="34"/>
        <v/>
      </c>
      <c r="EB27" s="42"/>
      <c r="EC27" s="3"/>
      <c r="ED27" s="37" t="str">
        <f t="shared" si="35"/>
        <v/>
      </c>
      <c r="EE27" s="3"/>
      <c r="EF27" s="3"/>
      <c r="EG27" s="4"/>
      <c r="EH27" s="4"/>
      <c r="EI27" s="6"/>
      <c r="EJ27" s="6"/>
      <c r="EK27" s="33" t="str">
        <f t="shared" si="36"/>
        <v/>
      </c>
      <c r="EL27" s="42"/>
      <c r="EM27" s="3"/>
      <c r="EN27" s="37" t="str">
        <f t="shared" si="37"/>
        <v/>
      </c>
      <c r="EO27" s="3"/>
      <c r="EP27" s="3"/>
      <c r="EQ27" s="4"/>
      <c r="ER27" s="4"/>
      <c r="ES27" s="6"/>
      <c r="ET27" s="6"/>
      <c r="EU27" s="33" t="str">
        <f t="shared" si="38"/>
        <v/>
      </c>
      <c r="EV27" s="42"/>
      <c r="EW27" s="3"/>
      <c r="EX27" s="37" t="str">
        <f t="shared" si="39"/>
        <v/>
      </c>
      <c r="EY27" s="3"/>
      <c r="EZ27" s="3"/>
      <c r="FA27" s="4"/>
      <c r="FB27" s="4"/>
      <c r="FC27" s="6"/>
      <c r="FD27" s="6"/>
      <c r="FE27" s="33" t="str">
        <f t="shared" si="40"/>
        <v/>
      </c>
      <c r="FF27" s="42"/>
      <c r="FG27" s="3"/>
      <c r="FH27" s="37" t="str">
        <f t="shared" si="41"/>
        <v/>
      </c>
      <c r="FI27" s="3"/>
      <c r="FJ27" s="3"/>
    </row>
    <row r="28" spans="2:166" ht="42" customHeight="1">
      <c r="B28" s="27"/>
      <c r="C28" s="27"/>
      <c r="D28" s="27"/>
      <c r="E28" s="4"/>
      <c r="F28" s="123" t="str">
        <f t="shared" si="0"/>
        <v/>
      </c>
      <c r="G28" s="123" t="str">
        <f t="shared" si="1"/>
        <v/>
      </c>
      <c r="H28" s="123" t="str">
        <f t="shared" si="2"/>
        <v/>
      </c>
      <c r="I28" s="123" t="str">
        <f t="shared" si="3"/>
        <v/>
      </c>
      <c r="J28" s="123" t="str">
        <f t="shared" si="44"/>
        <v/>
      </c>
      <c r="K28" s="123" t="str">
        <f t="shared" si="5"/>
        <v/>
      </c>
      <c r="L28" s="123" t="str">
        <f t="shared" si="6"/>
        <v/>
      </c>
      <c r="M28" s="123" t="str">
        <f t="shared" si="7"/>
        <v/>
      </c>
      <c r="N28" s="123" t="str">
        <f t="shared" si="8"/>
        <v/>
      </c>
      <c r="O28" s="123" t="str">
        <f t="shared" si="9"/>
        <v/>
      </c>
      <c r="P28" s="123" t="str">
        <f t="shared" si="10"/>
        <v/>
      </c>
      <c r="Q28" s="123" t="str">
        <f t="shared" si="11"/>
        <v/>
      </c>
      <c r="R28" s="76" t="e">
        <f t="shared" si="12"/>
        <v>#DIV/0!</v>
      </c>
      <c r="S28" s="4"/>
      <c r="T28" s="4"/>
      <c r="U28" s="4"/>
      <c r="V28" s="4"/>
      <c r="W28" s="77" t="e">
        <f t="shared" si="13"/>
        <v>#DIV/0!</v>
      </c>
      <c r="X28" s="77" t="e">
        <f t="shared" si="14"/>
        <v>#DIV/0!</v>
      </c>
      <c r="Y28" s="77" t="e" cm="1">
        <f t="array" ref="Y28">_xlfn.IFS(R28&gt;=0.8,5,R28&gt;=0.6,3,R28&gt;=0.2,1,R28&lt;0.2,0)</f>
        <v>#DIV/0!</v>
      </c>
      <c r="Z28" s="55" t="e">
        <f t="shared" si="45"/>
        <v>#DIV/0!</v>
      </c>
      <c r="AA28" s="5"/>
      <c r="AB28" s="5"/>
      <c r="AC28" s="5"/>
      <c r="AD28" s="5"/>
      <c r="AE28" s="5"/>
      <c r="AF28" s="5"/>
      <c r="AG28" s="5"/>
      <c r="AH28" s="5"/>
      <c r="AI28" s="5"/>
      <c r="AJ28" s="5"/>
      <c r="AK28" s="5"/>
      <c r="AL28" s="5"/>
      <c r="AM28" s="5"/>
      <c r="AN28" s="126" t="e">
        <f>IF(AND(Z28&gt;Summary!$C$5, Z28&lt;=Summary!$D$5),Summary!$B$5,IF(AND(Z28&gt;Summary!$C$6, Z28&lt;=Summary!$D$6),Summary!$B$6,IF(AND(Z28&gt;Summary!$C$7, Z28&lt;=Summary!$D$7),Summary!$B$7,Summary!$B$8)))</f>
        <v>#DIV/0!</v>
      </c>
      <c r="AO28" s="14"/>
      <c r="AP28" s="14"/>
      <c r="AQ28" s="14"/>
      <c r="AR28" s="14"/>
      <c r="AS28" s="14"/>
      <c r="AT28" s="5"/>
      <c r="AU28" s="4"/>
      <c r="AV28" s="4"/>
      <c r="AW28" s="6"/>
      <c r="AX28" s="6"/>
      <c r="AY28" s="33" t="str">
        <f t="shared" si="19"/>
        <v/>
      </c>
      <c r="AZ28" s="42"/>
      <c r="BA28" s="3"/>
      <c r="BB28" s="37" t="str">
        <f t="shared" si="43"/>
        <v/>
      </c>
      <c r="BC28" s="3"/>
      <c r="BD28" s="3"/>
      <c r="BE28" s="4"/>
      <c r="BF28" s="4"/>
      <c r="BG28" s="6"/>
      <c r="BH28" s="6"/>
      <c r="BI28" s="33" t="str">
        <f t="shared" si="20"/>
        <v/>
      </c>
      <c r="BJ28" s="42"/>
      <c r="BK28" s="3"/>
      <c r="BL28" s="37" t="str">
        <f t="shared" si="21"/>
        <v/>
      </c>
      <c r="BM28" s="3"/>
      <c r="BN28" s="3"/>
      <c r="BO28" s="4"/>
      <c r="BP28" s="4"/>
      <c r="BQ28" s="6"/>
      <c r="BR28" s="6"/>
      <c r="BS28" s="33" t="str">
        <f t="shared" si="22"/>
        <v/>
      </c>
      <c r="BT28" s="42"/>
      <c r="BU28" s="3"/>
      <c r="BV28" s="37" t="str">
        <f t="shared" si="23"/>
        <v/>
      </c>
      <c r="BW28" s="3"/>
      <c r="BX28" s="3"/>
      <c r="BY28" s="4"/>
      <c r="BZ28" s="4"/>
      <c r="CA28" s="6"/>
      <c r="CB28" s="6"/>
      <c r="CC28" s="33" t="str">
        <f t="shared" si="24"/>
        <v/>
      </c>
      <c r="CD28" s="42"/>
      <c r="CE28" s="3"/>
      <c r="CF28" s="37" t="str">
        <f t="shared" si="25"/>
        <v/>
      </c>
      <c r="CG28" s="3"/>
      <c r="CH28" s="3"/>
      <c r="CI28" s="4"/>
      <c r="CJ28" s="4"/>
      <c r="CK28" s="6"/>
      <c r="CL28" s="6"/>
      <c r="CM28" s="33" t="str">
        <f t="shared" si="26"/>
        <v/>
      </c>
      <c r="CN28" s="42"/>
      <c r="CO28" s="3"/>
      <c r="CP28" s="37" t="str">
        <f t="shared" si="27"/>
        <v/>
      </c>
      <c r="CQ28" s="3"/>
      <c r="CR28" s="3"/>
      <c r="CS28" s="4"/>
      <c r="CT28" s="4"/>
      <c r="CU28" s="6"/>
      <c r="CV28" s="6"/>
      <c r="CW28" s="33" t="str">
        <f t="shared" si="28"/>
        <v/>
      </c>
      <c r="CX28" s="42"/>
      <c r="CY28" s="3"/>
      <c r="CZ28" s="37" t="str">
        <f t="shared" si="29"/>
        <v/>
      </c>
      <c r="DA28" s="3"/>
      <c r="DB28" s="3"/>
      <c r="DC28" s="4"/>
      <c r="DD28" s="4"/>
      <c r="DE28" s="6"/>
      <c r="DF28" s="6"/>
      <c r="DG28" s="33" t="str">
        <f t="shared" si="30"/>
        <v/>
      </c>
      <c r="DH28" s="42"/>
      <c r="DI28" s="3"/>
      <c r="DJ28" s="37" t="str">
        <f t="shared" si="31"/>
        <v/>
      </c>
      <c r="DK28" s="3"/>
      <c r="DL28" s="3"/>
      <c r="DM28" s="4"/>
      <c r="DN28" s="4"/>
      <c r="DO28" s="6"/>
      <c r="DP28" s="6"/>
      <c r="DQ28" s="33" t="str">
        <f t="shared" si="32"/>
        <v/>
      </c>
      <c r="DR28" s="42"/>
      <c r="DS28" s="3"/>
      <c r="DT28" s="37" t="str">
        <f t="shared" si="33"/>
        <v/>
      </c>
      <c r="DU28" s="3"/>
      <c r="DV28" s="3"/>
      <c r="DW28" s="4"/>
      <c r="DX28" s="4"/>
      <c r="DY28" s="6"/>
      <c r="DZ28" s="6"/>
      <c r="EA28" s="33" t="str">
        <f t="shared" si="34"/>
        <v/>
      </c>
      <c r="EB28" s="42"/>
      <c r="EC28" s="3"/>
      <c r="ED28" s="37" t="str">
        <f t="shared" si="35"/>
        <v/>
      </c>
      <c r="EE28" s="3"/>
      <c r="EF28" s="3"/>
      <c r="EG28" s="4"/>
      <c r="EH28" s="4"/>
      <c r="EI28" s="6"/>
      <c r="EJ28" s="6"/>
      <c r="EK28" s="33" t="str">
        <f t="shared" si="36"/>
        <v/>
      </c>
      <c r="EL28" s="42"/>
      <c r="EM28" s="3"/>
      <c r="EN28" s="37" t="str">
        <f t="shared" si="37"/>
        <v/>
      </c>
      <c r="EO28" s="3"/>
      <c r="EP28" s="3"/>
      <c r="EQ28" s="4"/>
      <c r="ER28" s="4"/>
      <c r="ES28" s="6"/>
      <c r="ET28" s="6"/>
      <c r="EU28" s="33" t="str">
        <f t="shared" si="38"/>
        <v/>
      </c>
      <c r="EV28" s="42"/>
      <c r="EW28" s="3"/>
      <c r="EX28" s="37" t="str">
        <f t="shared" si="39"/>
        <v/>
      </c>
      <c r="EY28" s="3"/>
      <c r="EZ28" s="3"/>
      <c r="FA28" s="4"/>
      <c r="FB28" s="4"/>
      <c r="FC28" s="6"/>
      <c r="FD28" s="6"/>
      <c r="FE28" s="33" t="str">
        <f t="shared" si="40"/>
        <v/>
      </c>
      <c r="FF28" s="42"/>
      <c r="FG28" s="3"/>
      <c r="FH28" s="37" t="str">
        <f t="shared" si="41"/>
        <v/>
      </c>
      <c r="FI28" s="3"/>
      <c r="FJ28" s="3"/>
    </row>
    <row r="29" spans="2:166" ht="42" customHeight="1">
      <c r="B29" s="3"/>
      <c r="C29" s="3"/>
      <c r="D29" s="3"/>
      <c r="E29" s="4"/>
      <c r="F29" s="123" t="str">
        <f t="shared" si="0"/>
        <v/>
      </c>
      <c r="G29" s="123" t="str">
        <f t="shared" si="1"/>
        <v/>
      </c>
      <c r="H29" s="123" t="str">
        <f t="shared" si="2"/>
        <v/>
      </c>
      <c r="I29" s="123" t="str">
        <f t="shared" si="3"/>
        <v/>
      </c>
      <c r="J29" s="123" t="str">
        <f t="shared" si="44"/>
        <v/>
      </c>
      <c r="K29" s="123" t="str">
        <f t="shared" si="5"/>
        <v/>
      </c>
      <c r="L29" s="123" t="str">
        <f t="shared" si="6"/>
        <v/>
      </c>
      <c r="M29" s="123" t="str">
        <f t="shared" si="7"/>
        <v/>
      </c>
      <c r="N29" s="123" t="str">
        <f t="shared" si="8"/>
        <v/>
      </c>
      <c r="O29" s="123" t="str">
        <f t="shared" si="9"/>
        <v/>
      </c>
      <c r="P29" s="123" t="str">
        <f t="shared" si="10"/>
        <v/>
      </c>
      <c r="Q29" s="123" t="str">
        <f t="shared" si="11"/>
        <v/>
      </c>
      <c r="R29" s="76" t="e">
        <f t="shared" si="12"/>
        <v>#DIV/0!</v>
      </c>
      <c r="S29" s="4"/>
      <c r="T29" s="4"/>
      <c r="U29" s="4"/>
      <c r="V29" s="4"/>
      <c r="W29" s="77" t="e">
        <f t="shared" si="13"/>
        <v>#DIV/0!</v>
      </c>
      <c r="X29" s="77" t="e">
        <f t="shared" si="14"/>
        <v>#DIV/0!</v>
      </c>
      <c r="Y29" s="77" t="e" cm="1">
        <f t="array" ref="Y29">_xlfn.IFS(R29&gt;=0.8,5,R29&gt;=0.6,3,R29&gt;=0.2,1,R29&lt;0.2,0)</f>
        <v>#DIV/0!</v>
      </c>
      <c r="Z29" s="55" t="e">
        <f t="shared" si="45"/>
        <v>#DIV/0!</v>
      </c>
      <c r="AA29" s="5"/>
      <c r="AB29" s="5"/>
      <c r="AC29" s="5"/>
      <c r="AD29" s="5"/>
      <c r="AE29" s="5"/>
      <c r="AF29" s="5"/>
      <c r="AG29" s="5"/>
      <c r="AH29" s="5"/>
      <c r="AI29" s="5"/>
      <c r="AJ29" s="5"/>
      <c r="AK29" s="5"/>
      <c r="AL29" s="5"/>
      <c r="AM29" s="5"/>
      <c r="AN29" s="126" t="e">
        <f>IF(AND(Z29&gt;Summary!$C$5, Z29&lt;=Summary!$D$5),Summary!$B$5,IF(AND(Z29&gt;Summary!$C$6, Z29&lt;=Summary!$D$6),Summary!$B$6,IF(AND(Z29&gt;Summary!$C$7, Z29&lt;=Summary!$D$7),Summary!$B$7,Summary!$B$8)))</f>
        <v>#DIV/0!</v>
      </c>
      <c r="AO29" s="14"/>
      <c r="AP29" s="14"/>
      <c r="AQ29" s="14"/>
      <c r="AR29" s="14"/>
      <c r="AS29" s="14"/>
      <c r="AT29" s="5"/>
      <c r="AU29" s="4"/>
      <c r="AV29" s="4"/>
      <c r="AW29" s="6"/>
      <c r="AX29" s="6"/>
      <c r="AY29" s="33" t="str">
        <f t="shared" si="19"/>
        <v/>
      </c>
      <c r="AZ29" s="42"/>
      <c r="BA29" s="3"/>
      <c r="BB29" s="37" t="str">
        <f t="shared" si="43"/>
        <v/>
      </c>
      <c r="BC29" s="3"/>
      <c r="BD29" s="3"/>
      <c r="BE29" s="4"/>
      <c r="BF29" s="4"/>
      <c r="BG29" s="6"/>
      <c r="BH29" s="6"/>
      <c r="BI29" s="33" t="str">
        <f t="shared" si="20"/>
        <v/>
      </c>
      <c r="BJ29" s="42"/>
      <c r="BK29" s="3"/>
      <c r="BL29" s="37" t="str">
        <f t="shared" si="21"/>
        <v/>
      </c>
      <c r="BM29" s="3"/>
      <c r="BN29" s="3"/>
      <c r="BO29" s="4"/>
      <c r="BP29" s="4"/>
      <c r="BQ29" s="6"/>
      <c r="BR29" s="6"/>
      <c r="BS29" s="33" t="str">
        <f t="shared" si="22"/>
        <v/>
      </c>
      <c r="BT29" s="42"/>
      <c r="BU29" s="3"/>
      <c r="BV29" s="37" t="str">
        <f t="shared" si="23"/>
        <v/>
      </c>
      <c r="BW29" s="3"/>
      <c r="BX29" s="3"/>
      <c r="BY29" s="4"/>
      <c r="BZ29" s="4"/>
      <c r="CA29" s="6"/>
      <c r="CB29" s="6"/>
      <c r="CC29" s="33" t="str">
        <f t="shared" si="24"/>
        <v/>
      </c>
      <c r="CD29" s="42"/>
      <c r="CE29" s="3"/>
      <c r="CF29" s="37" t="str">
        <f t="shared" si="25"/>
        <v/>
      </c>
      <c r="CG29" s="3"/>
      <c r="CH29" s="3"/>
      <c r="CI29" s="4"/>
      <c r="CJ29" s="4"/>
      <c r="CK29" s="6"/>
      <c r="CL29" s="6"/>
      <c r="CM29" s="33" t="str">
        <f t="shared" si="26"/>
        <v/>
      </c>
      <c r="CN29" s="42"/>
      <c r="CO29" s="3"/>
      <c r="CP29" s="37" t="str">
        <f t="shared" si="27"/>
        <v/>
      </c>
      <c r="CQ29" s="3"/>
      <c r="CR29" s="3"/>
      <c r="CS29" s="4"/>
      <c r="CT29" s="4"/>
      <c r="CU29" s="6"/>
      <c r="CV29" s="6"/>
      <c r="CW29" s="33" t="str">
        <f t="shared" si="28"/>
        <v/>
      </c>
      <c r="CX29" s="42"/>
      <c r="CY29" s="3"/>
      <c r="CZ29" s="37" t="str">
        <f t="shared" si="29"/>
        <v/>
      </c>
      <c r="DA29" s="3"/>
      <c r="DB29" s="3"/>
      <c r="DC29" s="4"/>
      <c r="DD29" s="4"/>
      <c r="DE29" s="6"/>
      <c r="DF29" s="6"/>
      <c r="DG29" s="33" t="str">
        <f t="shared" si="30"/>
        <v/>
      </c>
      <c r="DH29" s="42"/>
      <c r="DI29" s="3"/>
      <c r="DJ29" s="37" t="str">
        <f t="shared" si="31"/>
        <v/>
      </c>
      <c r="DK29" s="3"/>
      <c r="DL29" s="3"/>
      <c r="DM29" s="4"/>
      <c r="DN29" s="4"/>
      <c r="DO29" s="6"/>
      <c r="DP29" s="6"/>
      <c r="DQ29" s="33" t="str">
        <f t="shared" si="32"/>
        <v/>
      </c>
      <c r="DR29" s="42"/>
      <c r="DS29" s="3"/>
      <c r="DT29" s="37" t="str">
        <f t="shared" si="33"/>
        <v/>
      </c>
      <c r="DU29" s="3"/>
      <c r="DV29" s="3"/>
      <c r="DW29" s="4"/>
      <c r="DX29" s="4"/>
      <c r="DY29" s="6"/>
      <c r="DZ29" s="6"/>
      <c r="EA29" s="33" t="str">
        <f t="shared" si="34"/>
        <v/>
      </c>
      <c r="EB29" s="42"/>
      <c r="EC29" s="3"/>
      <c r="ED29" s="37" t="str">
        <f t="shared" si="35"/>
        <v/>
      </c>
      <c r="EE29" s="3"/>
      <c r="EF29" s="3"/>
      <c r="EG29" s="4"/>
      <c r="EH29" s="4"/>
      <c r="EI29" s="6"/>
      <c r="EJ29" s="6"/>
      <c r="EK29" s="33" t="str">
        <f t="shared" si="36"/>
        <v/>
      </c>
      <c r="EL29" s="42"/>
      <c r="EM29" s="3"/>
      <c r="EN29" s="37" t="str">
        <f t="shared" si="37"/>
        <v/>
      </c>
      <c r="EO29" s="3"/>
      <c r="EP29" s="3"/>
      <c r="EQ29" s="4"/>
      <c r="ER29" s="4"/>
      <c r="ES29" s="6"/>
      <c r="ET29" s="6"/>
      <c r="EU29" s="33" t="str">
        <f t="shared" si="38"/>
        <v/>
      </c>
      <c r="EV29" s="42"/>
      <c r="EW29" s="3"/>
      <c r="EX29" s="37" t="str">
        <f t="shared" si="39"/>
        <v/>
      </c>
      <c r="EY29" s="3"/>
      <c r="EZ29" s="3"/>
      <c r="FA29" s="4"/>
      <c r="FB29" s="4"/>
      <c r="FC29" s="6"/>
      <c r="FD29" s="6"/>
      <c r="FE29" s="33" t="str">
        <f t="shared" si="40"/>
        <v/>
      </c>
      <c r="FF29" s="42"/>
      <c r="FG29" s="3"/>
      <c r="FH29" s="37" t="str">
        <f t="shared" si="41"/>
        <v/>
      </c>
      <c r="FI29" s="3"/>
      <c r="FJ29" s="3"/>
    </row>
    <row r="30" spans="2:166" ht="42" customHeight="1">
      <c r="B30" s="3"/>
      <c r="C30" s="3"/>
      <c r="D30" s="3"/>
      <c r="E30" s="4"/>
      <c r="F30" s="123" t="str">
        <f t="shared" si="0"/>
        <v/>
      </c>
      <c r="G30" s="123" t="str">
        <f t="shared" si="1"/>
        <v/>
      </c>
      <c r="H30" s="123" t="str">
        <f t="shared" si="2"/>
        <v/>
      </c>
      <c r="I30" s="123" t="str">
        <f t="shared" si="3"/>
        <v/>
      </c>
      <c r="J30" s="123" t="str">
        <f t="shared" si="44"/>
        <v/>
      </c>
      <c r="K30" s="123" t="str">
        <f t="shared" si="5"/>
        <v/>
      </c>
      <c r="L30" s="123" t="str">
        <f t="shared" si="6"/>
        <v/>
      </c>
      <c r="M30" s="123" t="str">
        <f t="shared" si="7"/>
        <v/>
      </c>
      <c r="N30" s="123" t="str">
        <f t="shared" si="8"/>
        <v/>
      </c>
      <c r="O30" s="123" t="str">
        <f t="shared" si="9"/>
        <v/>
      </c>
      <c r="P30" s="123" t="str">
        <f t="shared" si="10"/>
        <v/>
      </c>
      <c r="Q30" s="123" t="str">
        <f t="shared" si="11"/>
        <v/>
      </c>
      <c r="R30" s="76" t="e">
        <f t="shared" si="12"/>
        <v>#DIV/0!</v>
      </c>
      <c r="S30" s="4"/>
      <c r="T30" s="4"/>
      <c r="U30" s="4"/>
      <c r="V30" s="4"/>
      <c r="W30" s="77" t="e">
        <f t="shared" si="13"/>
        <v>#DIV/0!</v>
      </c>
      <c r="X30" s="77" t="e">
        <f t="shared" si="14"/>
        <v>#DIV/0!</v>
      </c>
      <c r="Y30" s="77" t="e" cm="1">
        <f t="array" ref="Y30">_xlfn.IFS(R30&gt;=0.8,5,R30&gt;=0.6,3,R30&gt;=0.2,1,R30&lt;0.2,0)</f>
        <v>#DIV/0!</v>
      </c>
      <c r="Z30" s="55" t="e">
        <f t="shared" si="45"/>
        <v>#DIV/0!</v>
      </c>
      <c r="AA30" s="5"/>
      <c r="AB30" s="5"/>
      <c r="AC30" s="5"/>
      <c r="AD30" s="5"/>
      <c r="AE30" s="5"/>
      <c r="AF30" s="5"/>
      <c r="AG30" s="5"/>
      <c r="AH30" s="5"/>
      <c r="AI30" s="5"/>
      <c r="AJ30" s="5"/>
      <c r="AK30" s="5"/>
      <c r="AL30" s="5"/>
      <c r="AM30" s="5"/>
      <c r="AN30" s="126" t="e">
        <f>IF(AND(Z30&gt;Summary!$C$5, Z30&lt;=Summary!$D$5),Summary!$B$5,IF(AND(Z30&gt;Summary!$C$6, Z30&lt;=Summary!$D$6),Summary!$B$6,IF(AND(Z30&gt;Summary!$C$7, Z30&lt;=Summary!$D$7),Summary!$B$7,Summary!$B$8)))</f>
        <v>#DIV/0!</v>
      </c>
      <c r="AO30" s="14"/>
      <c r="AP30" s="14"/>
      <c r="AQ30" s="14"/>
      <c r="AR30" s="14"/>
      <c r="AS30" s="14"/>
      <c r="AT30" s="5"/>
      <c r="AU30" s="4"/>
      <c r="AV30" s="4"/>
      <c r="AW30" s="6"/>
      <c r="AX30" s="6"/>
      <c r="AY30" s="33" t="str">
        <f t="shared" si="19"/>
        <v/>
      </c>
      <c r="AZ30" s="42"/>
      <c r="BA30" s="3"/>
      <c r="BB30" s="37" t="str">
        <f t="shared" si="43"/>
        <v/>
      </c>
      <c r="BC30" s="3"/>
      <c r="BD30" s="3"/>
      <c r="BE30" s="4"/>
      <c r="BF30" s="4"/>
      <c r="BG30" s="6"/>
      <c r="BH30" s="6"/>
      <c r="BI30" s="33" t="str">
        <f t="shared" si="20"/>
        <v/>
      </c>
      <c r="BJ30" s="42"/>
      <c r="BK30" s="3"/>
      <c r="BL30" s="37" t="str">
        <f t="shared" si="21"/>
        <v/>
      </c>
      <c r="BM30" s="3"/>
      <c r="BN30" s="3"/>
      <c r="BO30" s="4"/>
      <c r="BP30" s="4"/>
      <c r="BQ30" s="6"/>
      <c r="BR30" s="6"/>
      <c r="BS30" s="33" t="str">
        <f t="shared" si="22"/>
        <v/>
      </c>
      <c r="BT30" s="42"/>
      <c r="BU30" s="3"/>
      <c r="BV30" s="37" t="str">
        <f t="shared" si="23"/>
        <v/>
      </c>
      <c r="BW30" s="3"/>
      <c r="BX30" s="3"/>
      <c r="BY30" s="4"/>
      <c r="BZ30" s="4"/>
      <c r="CA30" s="6"/>
      <c r="CB30" s="6"/>
      <c r="CC30" s="33" t="str">
        <f t="shared" si="24"/>
        <v/>
      </c>
      <c r="CD30" s="42"/>
      <c r="CE30" s="3"/>
      <c r="CF30" s="37" t="str">
        <f t="shared" si="25"/>
        <v/>
      </c>
      <c r="CG30" s="3"/>
      <c r="CH30" s="3"/>
      <c r="CI30" s="4"/>
      <c r="CJ30" s="4"/>
      <c r="CK30" s="6"/>
      <c r="CL30" s="6"/>
      <c r="CM30" s="33" t="str">
        <f t="shared" si="26"/>
        <v/>
      </c>
      <c r="CN30" s="42"/>
      <c r="CO30" s="3"/>
      <c r="CP30" s="37" t="str">
        <f t="shared" si="27"/>
        <v/>
      </c>
      <c r="CQ30" s="3"/>
      <c r="CR30" s="3"/>
      <c r="CS30" s="4"/>
      <c r="CT30" s="4"/>
      <c r="CU30" s="6"/>
      <c r="CV30" s="6"/>
      <c r="CW30" s="33" t="str">
        <f t="shared" si="28"/>
        <v/>
      </c>
      <c r="CX30" s="42"/>
      <c r="CY30" s="3"/>
      <c r="CZ30" s="37" t="str">
        <f t="shared" si="29"/>
        <v/>
      </c>
      <c r="DA30" s="3"/>
      <c r="DB30" s="3"/>
      <c r="DC30" s="4"/>
      <c r="DD30" s="4"/>
      <c r="DE30" s="6"/>
      <c r="DF30" s="6"/>
      <c r="DG30" s="33" t="str">
        <f t="shared" si="30"/>
        <v/>
      </c>
      <c r="DH30" s="42"/>
      <c r="DI30" s="3"/>
      <c r="DJ30" s="37" t="str">
        <f t="shared" si="31"/>
        <v/>
      </c>
      <c r="DK30" s="3"/>
      <c r="DL30" s="3"/>
      <c r="DM30" s="4"/>
      <c r="DN30" s="4"/>
      <c r="DO30" s="6"/>
      <c r="DP30" s="6"/>
      <c r="DQ30" s="33" t="str">
        <f t="shared" si="32"/>
        <v/>
      </c>
      <c r="DR30" s="42"/>
      <c r="DS30" s="3"/>
      <c r="DT30" s="37" t="str">
        <f t="shared" si="33"/>
        <v/>
      </c>
      <c r="DU30" s="3"/>
      <c r="DV30" s="3"/>
      <c r="DW30" s="4"/>
      <c r="DX30" s="4"/>
      <c r="DY30" s="6"/>
      <c r="DZ30" s="6"/>
      <c r="EA30" s="33" t="str">
        <f t="shared" si="34"/>
        <v/>
      </c>
      <c r="EB30" s="42"/>
      <c r="EC30" s="3"/>
      <c r="ED30" s="37" t="str">
        <f t="shared" si="35"/>
        <v/>
      </c>
      <c r="EE30" s="3"/>
      <c r="EF30" s="3"/>
      <c r="EG30" s="4"/>
      <c r="EH30" s="4"/>
      <c r="EI30" s="6"/>
      <c r="EJ30" s="6"/>
      <c r="EK30" s="33" t="str">
        <f t="shared" si="36"/>
        <v/>
      </c>
      <c r="EL30" s="42"/>
      <c r="EM30" s="3"/>
      <c r="EN30" s="37" t="str">
        <f t="shared" si="37"/>
        <v/>
      </c>
      <c r="EO30" s="3"/>
      <c r="EP30" s="3"/>
      <c r="EQ30" s="4"/>
      <c r="ER30" s="4"/>
      <c r="ES30" s="6"/>
      <c r="ET30" s="6"/>
      <c r="EU30" s="33" t="str">
        <f t="shared" si="38"/>
        <v/>
      </c>
      <c r="EV30" s="42"/>
      <c r="EW30" s="3"/>
      <c r="EX30" s="37" t="str">
        <f t="shared" si="39"/>
        <v/>
      </c>
      <c r="EY30" s="3"/>
      <c r="EZ30" s="3"/>
      <c r="FA30" s="4"/>
      <c r="FB30" s="4"/>
      <c r="FC30" s="6"/>
      <c r="FD30" s="6"/>
      <c r="FE30" s="33" t="str">
        <f t="shared" si="40"/>
        <v/>
      </c>
      <c r="FF30" s="42"/>
      <c r="FG30" s="3"/>
      <c r="FH30" s="37" t="str">
        <f t="shared" si="41"/>
        <v/>
      </c>
      <c r="FI30" s="3"/>
      <c r="FJ30" s="3"/>
    </row>
    <row r="31" spans="2:166" ht="42" customHeight="1">
      <c r="B31" s="3"/>
      <c r="C31" s="3"/>
      <c r="D31" s="3"/>
      <c r="E31" s="4"/>
      <c r="F31" s="123" t="str">
        <f t="shared" si="0"/>
        <v/>
      </c>
      <c r="G31" s="123" t="str">
        <f t="shared" si="1"/>
        <v/>
      </c>
      <c r="H31" s="123" t="str">
        <f t="shared" si="2"/>
        <v/>
      </c>
      <c r="I31" s="123" t="str">
        <f t="shared" si="3"/>
        <v/>
      </c>
      <c r="J31" s="123" t="str">
        <f t="shared" si="44"/>
        <v/>
      </c>
      <c r="K31" s="123" t="str">
        <f t="shared" si="5"/>
        <v/>
      </c>
      <c r="L31" s="123" t="str">
        <f t="shared" si="6"/>
        <v/>
      </c>
      <c r="M31" s="123" t="str">
        <f t="shared" si="7"/>
        <v/>
      </c>
      <c r="N31" s="123" t="str">
        <f t="shared" si="8"/>
        <v/>
      </c>
      <c r="O31" s="123" t="str">
        <f t="shared" si="9"/>
        <v/>
      </c>
      <c r="P31" s="123" t="str">
        <f t="shared" si="10"/>
        <v/>
      </c>
      <c r="Q31" s="123" t="str">
        <f t="shared" si="11"/>
        <v/>
      </c>
      <c r="R31" s="76" t="e">
        <f t="shared" si="12"/>
        <v>#DIV/0!</v>
      </c>
      <c r="S31" s="4"/>
      <c r="T31" s="4"/>
      <c r="U31" s="4"/>
      <c r="V31" s="4"/>
      <c r="W31" s="77" t="e">
        <f t="shared" si="13"/>
        <v>#DIV/0!</v>
      </c>
      <c r="X31" s="77" t="e">
        <f t="shared" si="14"/>
        <v>#DIV/0!</v>
      </c>
      <c r="Y31" s="77" t="e" cm="1">
        <f t="array" ref="Y31">_xlfn.IFS(R31&gt;=0.8,5,R31&gt;=0.6,3,R31&gt;=0.2,1,R31&lt;0.2,0)</f>
        <v>#DIV/0!</v>
      </c>
      <c r="Z31" s="55" t="e">
        <f t="shared" si="45"/>
        <v>#DIV/0!</v>
      </c>
      <c r="AA31" s="5"/>
      <c r="AB31" s="5"/>
      <c r="AC31" s="5"/>
      <c r="AD31" s="5"/>
      <c r="AE31" s="5"/>
      <c r="AF31" s="5"/>
      <c r="AG31" s="5"/>
      <c r="AH31" s="5"/>
      <c r="AI31" s="5"/>
      <c r="AJ31" s="5"/>
      <c r="AK31" s="5"/>
      <c r="AL31" s="5"/>
      <c r="AM31" s="5"/>
      <c r="AN31" s="126" t="e">
        <f>IF(AND(Z31&gt;Summary!$C$5, Z31&lt;=Summary!$D$5),Summary!$B$5,IF(AND(Z31&gt;Summary!$C$6, Z31&lt;=Summary!$D$6),Summary!$B$6,IF(AND(Z31&gt;Summary!$C$7, Z31&lt;=Summary!$D$7),Summary!$B$7,Summary!$B$8)))</f>
        <v>#DIV/0!</v>
      </c>
      <c r="AO31" s="14"/>
      <c r="AP31" s="14"/>
      <c r="AQ31" s="14"/>
      <c r="AR31" s="14"/>
      <c r="AS31" s="14"/>
      <c r="AT31" s="5"/>
      <c r="AU31" s="4"/>
      <c r="AV31" s="4"/>
      <c r="AW31" s="6"/>
      <c r="AX31" s="6"/>
      <c r="AY31" s="33" t="str">
        <f t="shared" si="19"/>
        <v/>
      </c>
      <c r="AZ31" s="42"/>
      <c r="BA31" s="3"/>
      <c r="BB31" s="37" t="str">
        <f t="shared" si="43"/>
        <v/>
      </c>
      <c r="BC31" s="3"/>
      <c r="BD31" s="3"/>
      <c r="BE31" s="4"/>
      <c r="BF31" s="4"/>
      <c r="BG31" s="6"/>
      <c r="BH31" s="6"/>
      <c r="BI31" s="33" t="str">
        <f t="shared" si="20"/>
        <v/>
      </c>
      <c r="BJ31" s="42"/>
      <c r="BK31" s="3"/>
      <c r="BL31" s="37" t="str">
        <f t="shared" si="21"/>
        <v/>
      </c>
      <c r="BM31" s="3"/>
      <c r="BN31" s="3"/>
      <c r="BO31" s="4"/>
      <c r="BP31" s="4"/>
      <c r="BQ31" s="6"/>
      <c r="BR31" s="6"/>
      <c r="BS31" s="33" t="str">
        <f t="shared" si="22"/>
        <v/>
      </c>
      <c r="BT31" s="42"/>
      <c r="BU31" s="3"/>
      <c r="BV31" s="37" t="str">
        <f t="shared" si="23"/>
        <v/>
      </c>
      <c r="BW31" s="3"/>
      <c r="BX31" s="3"/>
      <c r="BY31" s="4"/>
      <c r="BZ31" s="4"/>
      <c r="CA31" s="6"/>
      <c r="CB31" s="6"/>
      <c r="CC31" s="33" t="str">
        <f t="shared" si="24"/>
        <v/>
      </c>
      <c r="CD31" s="42"/>
      <c r="CE31" s="3"/>
      <c r="CF31" s="37" t="str">
        <f t="shared" si="25"/>
        <v/>
      </c>
      <c r="CG31" s="3"/>
      <c r="CH31" s="3"/>
      <c r="CI31" s="4"/>
      <c r="CJ31" s="4"/>
      <c r="CK31" s="6"/>
      <c r="CL31" s="6"/>
      <c r="CM31" s="33" t="str">
        <f t="shared" si="26"/>
        <v/>
      </c>
      <c r="CN31" s="42"/>
      <c r="CO31" s="3"/>
      <c r="CP31" s="37" t="str">
        <f t="shared" si="27"/>
        <v/>
      </c>
      <c r="CQ31" s="3"/>
      <c r="CR31" s="3"/>
      <c r="CS31" s="4"/>
      <c r="CT31" s="4"/>
      <c r="CU31" s="6"/>
      <c r="CV31" s="6"/>
      <c r="CW31" s="33" t="str">
        <f t="shared" si="28"/>
        <v/>
      </c>
      <c r="CX31" s="42"/>
      <c r="CY31" s="3"/>
      <c r="CZ31" s="37" t="str">
        <f t="shared" si="29"/>
        <v/>
      </c>
      <c r="DA31" s="3"/>
      <c r="DB31" s="3"/>
      <c r="DC31" s="4"/>
      <c r="DD31" s="4"/>
      <c r="DE31" s="6"/>
      <c r="DF31" s="6"/>
      <c r="DG31" s="33" t="str">
        <f t="shared" si="30"/>
        <v/>
      </c>
      <c r="DH31" s="42"/>
      <c r="DI31" s="3"/>
      <c r="DJ31" s="37" t="str">
        <f t="shared" si="31"/>
        <v/>
      </c>
      <c r="DK31" s="3"/>
      <c r="DL31" s="3"/>
      <c r="DM31" s="4"/>
      <c r="DN31" s="4"/>
      <c r="DO31" s="6"/>
      <c r="DP31" s="6"/>
      <c r="DQ31" s="33" t="str">
        <f t="shared" si="32"/>
        <v/>
      </c>
      <c r="DR31" s="42"/>
      <c r="DS31" s="3"/>
      <c r="DT31" s="37" t="str">
        <f t="shared" si="33"/>
        <v/>
      </c>
      <c r="DU31" s="3"/>
      <c r="DV31" s="3"/>
      <c r="DW31" s="4"/>
      <c r="DX31" s="4"/>
      <c r="DY31" s="6"/>
      <c r="DZ31" s="6"/>
      <c r="EA31" s="33" t="str">
        <f t="shared" si="34"/>
        <v/>
      </c>
      <c r="EB31" s="42"/>
      <c r="EC31" s="3"/>
      <c r="ED31" s="37" t="str">
        <f t="shared" si="35"/>
        <v/>
      </c>
      <c r="EE31" s="3"/>
      <c r="EF31" s="3"/>
      <c r="EG31" s="4"/>
      <c r="EH31" s="4"/>
      <c r="EI31" s="6"/>
      <c r="EJ31" s="6"/>
      <c r="EK31" s="33" t="str">
        <f t="shared" si="36"/>
        <v/>
      </c>
      <c r="EL31" s="42"/>
      <c r="EM31" s="3"/>
      <c r="EN31" s="37" t="str">
        <f t="shared" si="37"/>
        <v/>
      </c>
      <c r="EO31" s="3"/>
      <c r="EP31" s="3"/>
      <c r="EQ31" s="4"/>
      <c r="ER31" s="4"/>
      <c r="ES31" s="6"/>
      <c r="ET31" s="6"/>
      <c r="EU31" s="33" t="str">
        <f t="shared" si="38"/>
        <v/>
      </c>
      <c r="EV31" s="42"/>
      <c r="EW31" s="3"/>
      <c r="EX31" s="37" t="str">
        <f t="shared" si="39"/>
        <v/>
      </c>
      <c r="EY31" s="3"/>
      <c r="EZ31" s="3"/>
      <c r="FA31" s="4"/>
      <c r="FB31" s="4"/>
      <c r="FC31" s="6"/>
      <c r="FD31" s="6"/>
      <c r="FE31" s="33" t="str">
        <f t="shared" si="40"/>
        <v/>
      </c>
      <c r="FF31" s="42"/>
      <c r="FG31" s="3"/>
      <c r="FH31" s="37" t="str">
        <f t="shared" si="41"/>
        <v/>
      </c>
      <c r="FI31" s="3"/>
      <c r="FJ31" s="3"/>
    </row>
    <row r="32" spans="2:166">
      <c r="E32" s="52"/>
      <c r="S32" s="52"/>
      <c r="T32" s="52"/>
      <c r="U32" s="52"/>
      <c r="V32" s="52"/>
      <c r="W32" s="52"/>
      <c r="X32" s="52"/>
      <c r="Y32" s="52"/>
      <c r="Z32" s="52"/>
    </row>
    <row r="33" spans="2:46" ht="42" customHeight="1">
      <c r="B33" s="27"/>
      <c r="C33" s="27"/>
      <c r="D33" s="27"/>
      <c r="E33" s="28"/>
      <c r="F33" s="28" t="s">
        <v>182</v>
      </c>
      <c r="G33" s="28" t="s">
        <v>182</v>
      </c>
      <c r="H33" s="28" t="s">
        <v>182</v>
      </c>
      <c r="I33" s="28" t="s">
        <v>182</v>
      </c>
      <c r="J33" s="28" t="s">
        <v>182</v>
      </c>
      <c r="K33" s="28" t="s">
        <v>182</v>
      </c>
      <c r="L33" s="28" t="s">
        <v>182</v>
      </c>
      <c r="M33" s="28" t="s">
        <v>182</v>
      </c>
      <c r="N33" s="28" t="s">
        <v>182</v>
      </c>
      <c r="O33" s="28" t="s">
        <v>182</v>
      </c>
      <c r="P33" s="28" t="s">
        <v>182</v>
      </c>
      <c r="Q33" s="28" t="s">
        <v>182</v>
      </c>
      <c r="R33" s="28" t="s">
        <v>182</v>
      </c>
      <c r="S33" s="28"/>
      <c r="T33" s="28"/>
      <c r="U33" s="28"/>
      <c r="V33" s="28"/>
      <c r="W33" s="28" t="s">
        <v>182</v>
      </c>
      <c r="X33" s="28" t="s">
        <v>182</v>
      </c>
      <c r="Y33" s="28" t="s">
        <v>182</v>
      </c>
      <c r="Z33" s="28" t="s">
        <v>182</v>
      </c>
      <c r="AA33" s="29"/>
      <c r="AB33" s="29"/>
      <c r="AC33" s="29"/>
      <c r="AD33" s="29"/>
      <c r="AE33" s="29"/>
      <c r="AF33" s="29"/>
      <c r="AG33" s="29"/>
      <c r="AH33" s="29"/>
      <c r="AI33" s="29"/>
      <c r="AJ33" s="29"/>
      <c r="AK33" s="29"/>
      <c r="AL33" s="29"/>
      <c r="AM33" s="29"/>
      <c r="AN33" s="29"/>
      <c r="AO33" s="14"/>
      <c r="AP33" s="44"/>
      <c r="AQ33" s="44"/>
      <c r="AR33" s="44"/>
      <c r="AS33" s="44"/>
      <c r="AT33" s="44"/>
    </row>
    <row r="34" spans="2:46" ht="42" customHeight="1">
      <c r="B34" s="27"/>
      <c r="C34" s="27"/>
      <c r="D34" s="27"/>
      <c r="E34" s="28"/>
      <c r="F34" s="28" t="s">
        <v>182</v>
      </c>
      <c r="G34" s="28" t="s">
        <v>182</v>
      </c>
      <c r="H34" s="28" t="s">
        <v>182</v>
      </c>
      <c r="I34" s="28" t="s">
        <v>182</v>
      </c>
      <c r="J34" s="28" t="s">
        <v>182</v>
      </c>
      <c r="K34" s="28" t="s">
        <v>182</v>
      </c>
      <c r="L34" s="28" t="s">
        <v>182</v>
      </c>
      <c r="M34" s="28" t="s">
        <v>182</v>
      </c>
      <c r="N34" s="28" t="s">
        <v>182</v>
      </c>
      <c r="O34" s="28" t="s">
        <v>182</v>
      </c>
      <c r="P34" s="28" t="s">
        <v>182</v>
      </c>
      <c r="Q34" s="28" t="s">
        <v>182</v>
      </c>
      <c r="R34" s="28" t="s">
        <v>182</v>
      </c>
      <c r="S34" s="28"/>
      <c r="T34" s="28"/>
      <c r="U34" s="28"/>
      <c r="V34" s="28"/>
      <c r="W34" s="28" t="s">
        <v>182</v>
      </c>
      <c r="X34" s="28" t="s">
        <v>182</v>
      </c>
      <c r="Y34" s="28" t="s">
        <v>182</v>
      </c>
      <c r="Z34" s="28" t="s">
        <v>182</v>
      </c>
      <c r="AA34" s="29"/>
      <c r="AB34" s="29"/>
      <c r="AC34" s="29"/>
      <c r="AD34" s="29"/>
      <c r="AE34" s="29"/>
      <c r="AF34" s="29"/>
      <c r="AG34" s="29"/>
      <c r="AH34" s="29"/>
      <c r="AI34" s="29"/>
      <c r="AJ34" s="29"/>
      <c r="AK34" s="29"/>
      <c r="AL34" s="29"/>
      <c r="AM34" s="29"/>
      <c r="AN34" s="29"/>
      <c r="AO34" s="14"/>
      <c r="AP34" s="44"/>
      <c r="AQ34" s="44"/>
      <c r="AR34" s="44"/>
      <c r="AS34" s="44"/>
      <c r="AT34" s="44"/>
    </row>
    <row r="35" spans="2:46" ht="42" customHeight="1">
      <c r="B35" s="3"/>
      <c r="C35" s="27"/>
      <c r="D35" s="27"/>
      <c r="E35" s="28"/>
      <c r="F35" s="4"/>
      <c r="G35" s="4"/>
      <c r="H35" s="4"/>
      <c r="I35" s="4"/>
      <c r="J35" s="4"/>
      <c r="K35" s="4"/>
      <c r="L35" s="4"/>
      <c r="M35" s="4"/>
      <c r="N35" s="4"/>
      <c r="O35" s="4"/>
      <c r="P35" s="4"/>
      <c r="Q35" s="4"/>
      <c r="R35" s="4"/>
      <c r="S35" s="28"/>
      <c r="T35" s="28"/>
      <c r="U35" s="28"/>
      <c r="V35" s="28"/>
      <c r="W35" s="28"/>
      <c r="X35" s="28"/>
      <c r="Y35" s="28"/>
      <c r="Z35" s="28"/>
      <c r="AA35" s="5"/>
      <c r="AB35" s="5"/>
      <c r="AC35" s="5"/>
      <c r="AD35" s="5"/>
      <c r="AE35" s="5"/>
      <c r="AF35" s="5"/>
      <c r="AG35" s="5"/>
      <c r="AH35" s="5"/>
      <c r="AI35" s="5"/>
      <c r="AJ35" s="5"/>
      <c r="AK35" s="5"/>
      <c r="AL35" s="5"/>
      <c r="AM35" s="5"/>
      <c r="AN35" s="5"/>
      <c r="AO35" s="14"/>
      <c r="AP35" s="44"/>
      <c r="AQ35" s="44"/>
      <c r="AR35" s="44"/>
      <c r="AS35" s="44"/>
      <c r="AT35" s="44"/>
    </row>
  </sheetData>
  <autoFilter ref="B9:FJ31" xr:uid="{74EA2920-C642-4D2A-8D24-C738D1F7592D}"/>
  <mergeCells count="2">
    <mergeCell ref="AC8:AD8"/>
    <mergeCell ref="AE8:AF8"/>
  </mergeCells>
  <phoneticPr fontId="10"/>
  <conditionalFormatting sqref="Z10:Z31">
    <cfRule type="cellIs" dxfId="847" priority="33" operator="lessThan">
      <formula>60</formula>
    </cfRule>
  </conditionalFormatting>
  <conditionalFormatting sqref="AV10:AV31">
    <cfRule type="cellIs" dxfId="846" priority="8" operator="equal">
      <formula>"×"</formula>
    </cfRule>
  </conditionalFormatting>
  <conditionalFormatting sqref="AY10:AY31">
    <cfRule type="cellIs" dxfId="845" priority="52" operator="lessThan">
      <formula>0.6</formula>
    </cfRule>
  </conditionalFormatting>
  <conditionalFormatting sqref="BB10:BB31">
    <cfRule type="cellIs" dxfId="844" priority="50" operator="greaterThan">
      <formula>8</formula>
    </cfRule>
  </conditionalFormatting>
  <conditionalFormatting sqref="BD10:BD31">
    <cfRule type="cellIs" dxfId="843" priority="7" operator="notEqual">
      <formula>BC10</formula>
    </cfRule>
  </conditionalFormatting>
  <conditionalFormatting sqref="BF10:BF31">
    <cfRule type="cellIs" dxfId="842" priority="6" operator="equal">
      <formula>"×"</formula>
    </cfRule>
  </conditionalFormatting>
  <conditionalFormatting sqref="BI10:BI31">
    <cfRule type="cellIs" dxfId="841" priority="43" operator="lessThan">
      <formula>0.6</formula>
    </cfRule>
  </conditionalFormatting>
  <conditionalFormatting sqref="BL10:BL31">
    <cfRule type="cellIs" dxfId="840" priority="42" operator="greaterThan">
      <formula>8</formula>
    </cfRule>
  </conditionalFormatting>
  <conditionalFormatting sqref="BN10:BN31">
    <cfRule type="cellIs" dxfId="839" priority="5" operator="notEqual">
      <formula>BM10</formula>
    </cfRule>
  </conditionalFormatting>
  <conditionalFormatting sqref="BP10:BP31">
    <cfRule type="cellIs" dxfId="838" priority="1" operator="equal">
      <formula>"×"</formula>
    </cfRule>
  </conditionalFormatting>
  <conditionalFormatting sqref="BS10:BS31">
    <cfRule type="cellIs" dxfId="837" priority="45" operator="lessThan">
      <formula>0.6</formula>
    </cfRule>
  </conditionalFormatting>
  <conditionalFormatting sqref="BV10:BV31">
    <cfRule type="cellIs" dxfId="836" priority="44" operator="greaterThan">
      <formula>8</formula>
    </cfRule>
  </conditionalFormatting>
  <conditionalFormatting sqref="BX10:BX31">
    <cfRule type="cellIs" dxfId="835" priority="3" operator="notEqual">
      <formula>BW10</formula>
    </cfRule>
  </conditionalFormatting>
  <conditionalFormatting sqref="BZ10:BZ31">
    <cfRule type="cellIs" dxfId="834" priority="2" operator="equal">
      <formula>"×"</formula>
    </cfRule>
  </conditionalFormatting>
  <conditionalFormatting sqref="CC10:CC31">
    <cfRule type="cellIs" dxfId="833" priority="47" operator="lessThan">
      <formula>0.6</formula>
    </cfRule>
  </conditionalFormatting>
  <conditionalFormatting sqref="CF10:CF31">
    <cfRule type="cellIs" dxfId="832" priority="46" operator="greaterThan">
      <formula>8</formula>
    </cfRule>
  </conditionalFormatting>
  <conditionalFormatting sqref="CH10:CH31 CR10:CR31 DB10:DB31 DL10:DL31 DV10:DV31 EF10:EF31 EP10:EP31 EZ10:EZ31 FJ10:FJ31">
    <cfRule type="cellIs" dxfId="831" priority="51" operator="notEqual">
      <formula>CG10</formula>
    </cfRule>
  </conditionalFormatting>
  <conditionalFormatting sqref="CJ10:CJ31">
    <cfRule type="cellIs" dxfId="830" priority="9" operator="equal">
      <formula>"×"</formula>
    </cfRule>
  </conditionalFormatting>
  <conditionalFormatting sqref="CM10:CM31">
    <cfRule type="cellIs" dxfId="829" priority="49" operator="lessThan">
      <formula>0.6</formula>
    </cfRule>
  </conditionalFormatting>
  <conditionalFormatting sqref="CP10:CP31">
    <cfRule type="cellIs" dxfId="828" priority="48" operator="greaterThan">
      <formula>8</formula>
    </cfRule>
  </conditionalFormatting>
  <conditionalFormatting sqref="CT10:CT31">
    <cfRule type="cellIs" dxfId="827" priority="34" operator="equal">
      <formula>"×"</formula>
    </cfRule>
  </conditionalFormatting>
  <conditionalFormatting sqref="CW10:CW31">
    <cfRule type="cellIs" dxfId="826" priority="36" operator="lessThan">
      <formula>0.6</formula>
    </cfRule>
  </conditionalFormatting>
  <conditionalFormatting sqref="CZ10:CZ31">
    <cfRule type="cellIs" dxfId="825" priority="35" operator="greaterThan">
      <formula>8</formula>
    </cfRule>
  </conditionalFormatting>
  <conditionalFormatting sqref="DD10:DD31">
    <cfRule type="cellIs" dxfId="824" priority="22" operator="equal">
      <formula>"×"</formula>
    </cfRule>
  </conditionalFormatting>
  <conditionalFormatting sqref="DG10:DG31">
    <cfRule type="cellIs" dxfId="823" priority="32" operator="lessThan">
      <formula>0.6</formula>
    </cfRule>
  </conditionalFormatting>
  <conditionalFormatting sqref="DJ10:DJ31">
    <cfRule type="cellIs" dxfId="822" priority="31" operator="greaterThan">
      <formula>8</formula>
    </cfRule>
  </conditionalFormatting>
  <conditionalFormatting sqref="DN10:DN31">
    <cfRule type="cellIs" dxfId="821" priority="21" operator="equal">
      <formula>"×"</formula>
    </cfRule>
  </conditionalFormatting>
  <conditionalFormatting sqref="DQ10:DQ31">
    <cfRule type="cellIs" dxfId="820" priority="24" operator="lessThan">
      <formula>0.6</formula>
    </cfRule>
  </conditionalFormatting>
  <conditionalFormatting sqref="DT10:DT31">
    <cfRule type="cellIs" dxfId="819" priority="23" operator="greaterThan">
      <formula>8</formula>
    </cfRule>
  </conditionalFormatting>
  <conditionalFormatting sqref="DX10:DX31">
    <cfRule type="cellIs" dxfId="818" priority="20" operator="equal">
      <formula>"×"</formula>
    </cfRule>
  </conditionalFormatting>
  <conditionalFormatting sqref="EA10:EA31">
    <cfRule type="cellIs" dxfId="817" priority="26" operator="lessThan">
      <formula>0.6</formula>
    </cfRule>
  </conditionalFormatting>
  <conditionalFormatting sqref="ED10:ED31">
    <cfRule type="cellIs" dxfId="816" priority="25" operator="greaterThan">
      <formula>8</formula>
    </cfRule>
  </conditionalFormatting>
  <conditionalFormatting sqref="EH10:EH31">
    <cfRule type="cellIs" dxfId="815" priority="19" operator="equal">
      <formula>"×"</formula>
    </cfRule>
  </conditionalFormatting>
  <conditionalFormatting sqref="EK10:EK31">
    <cfRule type="cellIs" dxfId="814" priority="28" operator="lessThan">
      <formula>0.6</formula>
    </cfRule>
  </conditionalFormatting>
  <conditionalFormatting sqref="EN10:EN31">
    <cfRule type="cellIs" dxfId="813" priority="27" operator="greaterThan">
      <formula>8</formula>
    </cfRule>
  </conditionalFormatting>
  <conditionalFormatting sqref="ER10:ER31">
    <cfRule type="cellIs" dxfId="812" priority="18" operator="equal">
      <formula>"×"</formula>
    </cfRule>
  </conditionalFormatting>
  <conditionalFormatting sqref="EU10:EU31">
    <cfRule type="cellIs" dxfId="811" priority="30" operator="lessThan">
      <formula>0.6</formula>
    </cfRule>
  </conditionalFormatting>
  <conditionalFormatting sqref="EX10:EX31">
    <cfRule type="cellIs" dxfId="810" priority="29" operator="greaterThan">
      <formula>8</formula>
    </cfRule>
  </conditionalFormatting>
  <conditionalFormatting sqref="FB10:FB31">
    <cfRule type="cellIs" dxfId="809" priority="15" operator="equal">
      <formula>"×"</formula>
    </cfRule>
  </conditionalFormatting>
  <conditionalFormatting sqref="FE10:FE31">
    <cfRule type="cellIs" dxfId="808" priority="17" operator="lessThan">
      <formula>0.6</formula>
    </cfRule>
  </conditionalFormatting>
  <conditionalFormatting sqref="FH10:FH31">
    <cfRule type="cellIs" dxfId="807" priority="16" operator="greaterThan">
      <formula>8</formula>
    </cfRule>
  </conditionalFormatting>
  <dataValidations count="3">
    <dataValidation type="list" allowBlank="1" showInputMessage="1" showErrorMessage="1" sqref="AO16:AP31 AQ15:AQ31 AR13:AS31 AR10:AS11 AO10:AQ10 AO33:AT35 AO12:AS12" xr:uid="{0F7758A8-6212-41C2-922E-9F91FD7F4C36}">
      <formula1>"○,△,×"</formula1>
    </dataValidation>
    <dataValidation type="list" allowBlank="1" showInputMessage="1" showErrorMessage="1" sqref="FB10:FB31 CJ10:CJ31 AV10:AV31 BF10:BF31 BZ10:BZ31 CT10:CT31 DD10:DD31 DN10:DN31 DX10:DX31 EH10:EH31 ER10:ER31 BP10:BP31" xr:uid="{E2DA6DDB-55CD-4E48-8AFD-32E077968687}">
      <formula1>"○,×"</formula1>
    </dataValidation>
    <dataValidation type="list" allowBlank="1" showInputMessage="1" showErrorMessage="1" sqref="AO13:AP15 AO11:AQ11 AQ13:AQ14" xr:uid="{50B8192F-9CE5-41E0-9079-948B1EB200A5}">
      <formula1>"○,△,×,◎"</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BC9F2-9ADF-4175-BE68-6AF9D4659CF1}">
  <dimension ref="A1:AI178"/>
  <sheetViews>
    <sheetView showGridLines="0" topLeftCell="A42" zoomScale="160" zoomScaleNormal="160" workbookViewId="0">
      <selection activeCell="A88" sqref="A88"/>
    </sheetView>
  </sheetViews>
  <sheetFormatPr defaultRowHeight="11.1"/>
  <cols>
    <col min="2" max="2" width="10.85546875" customWidth="1"/>
    <col min="3" max="3" width="16.140625" customWidth="1"/>
    <col min="4" max="4" width="6.140625" customWidth="1"/>
    <col min="5" max="5" width="7" customWidth="1"/>
    <col min="6" max="8" width="6.140625" customWidth="1"/>
    <col min="9" max="9" width="7.140625" customWidth="1"/>
    <col min="10" max="11" width="6.140625" customWidth="1"/>
    <col min="14" max="14" width="10.85546875" customWidth="1"/>
    <col min="15" max="23" width="6.140625" customWidth="1"/>
    <col min="25" max="25" width="9" bestFit="1" customWidth="1"/>
    <col min="26" max="26" width="10.85546875" customWidth="1"/>
    <col min="27" max="35" width="6.140625" customWidth="1"/>
  </cols>
  <sheetData>
    <row r="1" spans="2:35">
      <c r="B1" t="s">
        <v>1373</v>
      </c>
      <c r="M1" t="s">
        <v>1374</v>
      </c>
      <c r="Y1" t="s">
        <v>1375</v>
      </c>
    </row>
    <row r="2" spans="2:35" ht="11.45" thickBot="1">
      <c r="B2" t="s">
        <v>1376</v>
      </c>
      <c r="M2" t="s">
        <v>1377</v>
      </c>
      <c r="N2" t="s">
        <v>1376</v>
      </c>
      <c r="Y2" t="s">
        <v>1378</v>
      </c>
      <c r="Z2" t="s">
        <v>1376</v>
      </c>
    </row>
    <row r="3" spans="2:35" ht="17.25" customHeight="1">
      <c r="B3" s="110" t="s">
        <v>1379</v>
      </c>
      <c r="C3" s="533" t="s">
        <v>1380</v>
      </c>
      <c r="D3" s="533"/>
      <c r="E3" s="533" t="s">
        <v>1381</v>
      </c>
      <c r="F3" s="533"/>
      <c r="G3" s="533"/>
      <c r="H3" s="533"/>
      <c r="I3" s="533"/>
      <c r="J3" s="534"/>
      <c r="N3" s="110" t="s">
        <v>1379</v>
      </c>
      <c r="O3" s="533" t="s">
        <v>1380</v>
      </c>
      <c r="P3" s="533"/>
      <c r="Q3" s="533" t="s">
        <v>1381</v>
      </c>
      <c r="R3" s="533"/>
      <c r="S3" s="533"/>
      <c r="T3" s="533"/>
      <c r="U3" s="533"/>
      <c r="V3" s="534"/>
      <c r="Z3" s="110" t="s">
        <v>1379</v>
      </c>
      <c r="AA3" s="533" t="s">
        <v>1380</v>
      </c>
      <c r="AB3" s="533"/>
      <c r="AC3" s="533" t="s">
        <v>1381</v>
      </c>
      <c r="AD3" s="533"/>
      <c r="AE3" s="533"/>
      <c r="AF3" s="533"/>
      <c r="AG3" s="533"/>
      <c r="AH3" s="534"/>
    </row>
    <row r="4" spans="2:35" ht="17.25" customHeight="1" thickBot="1">
      <c r="B4" s="118" t="s">
        <v>1382</v>
      </c>
      <c r="C4" s="119" t="s">
        <v>1383</v>
      </c>
      <c r="D4" s="119" t="s">
        <v>1384</v>
      </c>
      <c r="E4" s="119" t="s">
        <v>1385</v>
      </c>
      <c r="F4" s="119" t="s">
        <v>1386</v>
      </c>
      <c r="G4" s="119" t="s">
        <v>1387</v>
      </c>
      <c r="H4" s="119" t="s">
        <v>1388</v>
      </c>
      <c r="I4" s="119" t="s">
        <v>1389</v>
      </c>
      <c r="J4" s="120" t="s">
        <v>1390</v>
      </c>
      <c r="K4" t="s">
        <v>1391</v>
      </c>
      <c r="N4" s="118" t="s">
        <v>1382</v>
      </c>
      <c r="O4" s="119" t="s">
        <v>1383</v>
      </c>
      <c r="P4" s="119" t="s">
        <v>1384</v>
      </c>
      <c r="Q4" s="119" t="s">
        <v>1385</v>
      </c>
      <c r="R4" s="119" t="s">
        <v>1386</v>
      </c>
      <c r="S4" s="119" t="s">
        <v>1387</v>
      </c>
      <c r="T4" s="119" t="s">
        <v>1388</v>
      </c>
      <c r="U4" s="119" t="s">
        <v>1389</v>
      </c>
      <c r="V4" s="120" t="s">
        <v>1390</v>
      </c>
      <c r="W4" t="s">
        <v>1391</v>
      </c>
      <c r="Z4" s="118" t="s">
        <v>1382</v>
      </c>
      <c r="AA4" s="119" t="s">
        <v>1383</v>
      </c>
      <c r="AB4" s="119" t="s">
        <v>1384</v>
      </c>
      <c r="AC4" s="119" t="s">
        <v>1385</v>
      </c>
      <c r="AD4" s="119" t="s">
        <v>1386</v>
      </c>
      <c r="AE4" s="119" t="s">
        <v>1387</v>
      </c>
      <c r="AF4" s="119" t="s">
        <v>1388</v>
      </c>
      <c r="AG4" s="119" t="s">
        <v>1389</v>
      </c>
      <c r="AH4" s="120" t="s">
        <v>1390</v>
      </c>
      <c r="AI4" t="s">
        <v>1391</v>
      </c>
    </row>
    <row r="5" spans="2:35" ht="17.25" customHeight="1" thickTop="1">
      <c r="B5" s="115" t="s">
        <v>389</v>
      </c>
      <c r="C5" s="116">
        <v>70</v>
      </c>
      <c r="D5" s="116">
        <v>100</v>
      </c>
      <c r="E5" s="134">
        <f>COUNTIFS(TeamA!$Z$10:$Z$31,"&gt;"&amp;Summary!C5, TeamA!$Z$10:$Z$31,"&lt;="&amp;Summary!D5)</f>
        <v>10</v>
      </c>
      <c r="F5" s="134">
        <f>COUNTIFS(TeamB!$Z$10:$Z$31,"&gt;"&amp;Summary!C5, TeamB!$Z$10:$Z$31,"&lt;="&amp;Summary!D5)</f>
        <v>11</v>
      </c>
      <c r="G5" s="134">
        <f>COUNTIFS(TeamC!$Z$10:$Z$31,"&gt;"&amp;Summary!C5, TeamC!$Z$10:$Z$31,"&lt;="&amp;Summary!D5)</f>
        <v>5</v>
      </c>
      <c r="H5" s="134">
        <f>COUNTIFS(TeamD!$Z$10:$Z$31,"&gt;"&amp;Summary!C5, TeamD!$Z$10:$Z$31,"&lt;="&amp;Summary!D5)</f>
        <v>2</v>
      </c>
      <c r="I5" s="134">
        <f>COUNTIFS(TeamE!$Z$10:$Z$31,"&gt;"&amp;Summary!C5, TeamE!$Z$10:$Z$31,"&lt;="&amp;Summary!D5)</f>
        <v>5</v>
      </c>
      <c r="J5" s="135">
        <f>COUNTIFS(TeamF!$Z$10:$Z$14,"&gt;"&amp;Summary!C5, TeamF!$Z$10:$Z$14,"&lt;="&amp;Summary!D5)</f>
        <v>1</v>
      </c>
      <c r="K5" s="109">
        <f>SUM(E5:J5)</f>
        <v>34</v>
      </c>
      <c r="N5" s="115" t="s">
        <v>389</v>
      </c>
      <c r="O5" s="116">
        <v>70</v>
      </c>
      <c r="P5" s="116">
        <v>100</v>
      </c>
      <c r="Q5" s="92">
        <f>COUNTIFS(TeamA!$D$10:$D$31,"="&amp;Summary!$M$2,TeamA!$Z$10:$Z$31,"&gt;"&amp;Summary!$O5, TeamA!$Z$10:$Z$31,"&lt;="&amp;Summary!$P5)</f>
        <v>8</v>
      </c>
      <c r="R5" s="92">
        <f>COUNTIFS(TeamB!$D$10:$D$31,"="&amp;Summary!$M$2,TeamB!$Z$10:$Z$31,"&gt;"&amp;Summary!$O5, TeamB!$Z$10:$Z$31,"&lt;="&amp;Summary!$P5)</f>
        <v>8</v>
      </c>
      <c r="S5" s="92">
        <f>COUNTIFS(TeamC!$D$10:$D$31,"="&amp;Summary!$M$2,TeamC!$Z$10:$Z$31,"&gt;"&amp;Summary!$O5, TeamC!$Z$10:$Z$31,"&lt;="&amp;Summary!$P5)</f>
        <v>5</v>
      </c>
      <c r="T5" s="92">
        <f>COUNTIFS(TeamD!$D$10:$D$31,"="&amp;Summary!$M$2,TeamD!$Z$10:$Z$31,"&gt;"&amp;Summary!$O5, TeamD!$Z$10:$Z$31,"&lt;="&amp;Summary!$P5)</f>
        <v>1</v>
      </c>
      <c r="U5" s="92">
        <f>COUNTIFS(TeamE!$D$10:$D$31,"="&amp;Summary!$M$2,TeamE!$Z$10:$Z$31,"&gt;"&amp;Summary!$O5, TeamE!$Z$10:$Z$31,"&lt;="&amp;Summary!$P5)</f>
        <v>5</v>
      </c>
      <c r="V5" s="117">
        <f>COUNTIFS(TeamF!$D$10:$D$14,"="&amp;Summary!$M$2,TeamF!$Z$10:$Z$14,"&gt;"&amp;Summary!$O5, TeamF!$Z$10:$Z$14,"&lt;="&amp;Summary!$P5)</f>
        <v>0</v>
      </c>
      <c r="W5" s="109">
        <f>SUM(Q5:V5)</f>
        <v>27</v>
      </c>
      <c r="Z5" s="115" t="s">
        <v>389</v>
      </c>
      <c r="AA5" s="116">
        <v>70</v>
      </c>
      <c r="AB5" s="116">
        <v>100</v>
      </c>
      <c r="AC5" s="92">
        <f>COUNTIFS(TeamA!$D$10:$D$31,"="&amp;Summary!$Y$2,TeamA!$Z$10:$Z$31,"&gt;"&amp;Summary!$O5, TeamA!$Z$10:$Z$31,"&lt;="&amp;Summary!$P5)</f>
        <v>2</v>
      </c>
      <c r="AD5" s="92">
        <f>COUNTIFS(TeamB!$D$10:$D$31,"="&amp;Summary!$Y$2,TeamB!$Z$10:$Z$31,"&gt;"&amp;Summary!$O5, TeamB!$Z$10:$Z$31,"&lt;="&amp;Summary!$P5)</f>
        <v>3</v>
      </c>
      <c r="AE5" s="92">
        <f>COUNTIFS(TeamC!$D$10:$D$31,"="&amp;Summary!$Y$2,TeamC!$Z$10:$Z$31,"&gt;"&amp;Summary!$O5, TeamC!$Z$10:$Z$31,"&lt;="&amp;Summary!$P5)</f>
        <v>0</v>
      </c>
      <c r="AF5" s="92">
        <f>COUNTIFS(TeamD!$D$10:$D$31,"="&amp;Summary!$Y$2,TeamD!$Z$10:$Z$31,"&gt;"&amp;Summary!$O5, TeamD!$Z$10:$Z$31,"&lt;="&amp;Summary!$P5)</f>
        <v>1</v>
      </c>
      <c r="AG5" s="92">
        <f>COUNTIFS(TeamE!$D$10:$D$31,"="&amp;Summary!$Y$2,TeamE!$Z$10:$Z$31,"&gt;"&amp;Summary!$O5, TeamE!$Z$10:$Z$31,"&lt;="&amp;Summary!$P5)</f>
        <v>0</v>
      </c>
      <c r="AH5" s="117">
        <f>COUNTIFS(TeamF!$D$10:$D$14,"="&amp;Summary!$Y$2,TeamF!$Z$10:$Z$14,"&gt;"&amp;Summary!$O5, TeamF!$Z$10:$Z$14,"&lt;="&amp;Summary!$P5)</f>
        <v>1</v>
      </c>
      <c r="AI5" s="109">
        <f>SUM(AC5:AH5)</f>
        <v>7</v>
      </c>
    </row>
    <row r="6" spans="2:35" ht="17.25" customHeight="1">
      <c r="B6" s="111" t="s">
        <v>168</v>
      </c>
      <c r="C6" s="108">
        <v>50</v>
      </c>
      <c r="D6" s="108">
        <v>70</v>
      </c>
      <c r="E6" s="136">
        <f>COUNTIFS(TeamA!$Z$10:$Z$31,"&gt;"&amp;Summary!C6, TeamA!$Z$10:$Z$31,"&lt;="&amp;Summary!D6)</f>
        <v>4</v>
      </c>
      <c r="F6" s="136">
        <f>COUNTIFS(TeamB!$Z$10:$Z$31,"&gt;"&amp;Summary!C6, TeamB!$Z$10:$Z$31,"&lt;="&amp;Summary!D6)</f>
        <v>5</v>
      </c>
      <c r="G6" s="136">
        <f>COUNTIFS(TeamC!$Z$10:$Z$31,"&gt;"&amp;Summary!C6, TeamC!$Z$10:$Z$31,"&lt;="&amp;Summary!D6)</f>
        <v>6</v>
      </c>
      <c r="H6" s="136">
        <f>COUNTIFS(TeamD!$Z$10:$Z$31,"&gt;"&amp;Summary!C6, TeamD!$Z$10:$Z$31,"&lt;="&amp;Summary!D6)</f>
        <v>9</v>
      </c>
      <c r="I6" s="136">
        <f>COUNTIFS(TeamE!$Z$10:$Z$31,"&gt;"&amp;Summary!C6, TeamE!$Z$10:$Z$31,"&lt;="&amp;Summary!D6)</f>
        <v>6</v>
      </c>
      <c r="J6" s="137">
        <f>COUNTIFS(TeamF!$Z$10:$Z$14,"&gt;"&amp;Summary!C6, TeamF!$Z$10:$Z$14,"&lt;="&amp;Summary!D6)</f>
        <v>3</v>
      </c>
      <c r="K6" s="109">
        <f>SUM(E6:J6)</f>
        <v>33</v>
      </c>
      <c r="L6" s="139"/>
      <c r="N6" s="111" t="s">
        <v>168</v>
      </c>
      <c r="O6" s="108">
        <v>50</v>
      </c>
      <c r="P6" s="108">
        <v>70</v>
      </c>
      <c r="Q6" s="92">
        <f>COUNTIFS(TeamA!$D$10:$D$31,"="&amp;Summary!$M$2,TeamA!$Z$10:$Z$31,"&gt;"&amp;Summary!$O6, TeamA!$Z$10:$Z$31,"&lt;="&amp;Summary!$P6)</f>
        <v>4</v>
      </c>
      <c r="R6" s="92">
        <f>COUNTIFS(TeamB!$D$10:$D$31,"="&amp;Summary!$M$2,TeamB!$Z$10:$Z$31,"&gt;"&amp;Summary!$O6, TeamB!$Z$10:$Z$31,"&lt;="&amp;Summary!$P6)</f>
        <v>2</v>
      </c>
      <c r="S6" s="92">
        <f>COUNTIFS(TeamC!$D$10:$D$31,"="&amp;Summary!$M$2,TeamC!$Z$10:$Z$31,"&gt;"&amp;Summary!$O6, TeamC!$Z$10:$Z$31,"&lt;="&amp;Summary!$P6)</f>
        <v>4</v>
      </c>
      <c r="T6" s="92">
        <f>COUNTIFS(TeamD!$D$10:$D$31,"="&amp;Summary!$M$2,TeamD!$Z$10:$Z$31,"&gt;"&amp;Summary!$O6, TeamD!$Z$10:$Z$31,"&lt;="&amp;Summary!$P6)</f>
        <v>7</v>
      </c>
      <c r="U6" s="92">
        <f>COUNTIFS(TeamE!$D$10:$D$31,"="&amp;Summary!$M$2,TeamE!$Z$10:$Z$31,"&gt;"&amp;Summary!$O6, TeamE!$Z$10:$Z$31,"&lt;="&amp;Summary!$P6)</f>
        <v>6</v>
      </c>
      <c r="V6" s="117">
        <f>COUNTIFS(TeamF!$D$10:$D$14,"="&amp;Summary!$M$2,TeamF!$Z$10:$Z$14,"&gt;"&amp;Summary!$O6, TeamF!$Z$10:$Z$14,"&lt;="&amp;Summary!$P6)</f>
        <v>0</v>
      </c>
      <c r="W6" s="109">
        <f>SUM(Q6:V6)</f>
        <v>23</v>
      </c>
      <c r="Z6" s="111" t="s">
        <v>168</v>
      </c>
      <c r="AA6" s="108">
        <v>50</v>
      </c>
      <c r="AB6" s="108">
        <v>70</v>
      </c>
      <c r="AC6" s="92">
        <f>COUNTIFS(TeamA!$D$10:$D$31,"="&amp;Summary!$Y$2,TeamA!$Z$10:$Z$31,"&gt;"&amp;Summary!$O6, TeamA!$Z$10:$Z$31,"&lt;="&amp;Summary!$P6)</f>
        <v>0</v>
      </c>
      <c r="AD6" s="92">
        <f>COUNTIFS(TeamB!$D$10:$D$31,"="&amp;Summary!$Y$2,TeamB!$Z$10:$Z$31,"&gt;"&amp;Summary!$O6, TeamB!$Z$10:$Z$31,"&lt;="&amp;Summary!$P6)</f>
        <v>3</v>
      </c>
      <c r="AE6" s="92">
        <f>COUNTIFS(TeamC!$D$10:$D$31,"="&amp;Summary!$Y$2,TeamC!$Z$10:$Z$31,"&gt;"&amp;Summary!$O6, TeamC!$Z$10:$Z$31,"&lt;="&amp;Summary!$P6)</f>
        <v>2</v>
      </c>
      <c r="AF6" s="92">
        <f>COUNTIFS(TeamD!$D$10:$D$31,"="&amp;Summary!$Y$2,TeamD!$Z$10:$Z$31,"&gt;"&amp;Summary!$O6, TeamD!$Z$10:$Z$31,"&lt;="&amp;Summary!$P6)</f>
        <v>2</v>
      </c>
      <c r="AG6" s="92">
        <f>COUNTIFS(TeamE!$D$10:$D$31,"="&amp;Summary!$Y$2,TeamE!$Z$10:$Z$31,"&gt;"&amp;Summary!$O6, TeamE!$Z$10:$Z$31,"&lt;="&amp;Summary!$P6)</f>
        <v>0</v>
      </c>
      <c r="AH6" s="117">
        <f>COUNTIFS(TeamF!$D$10:$D$14,"="&amp;Summary!$Y$2,TeamF!$Z$10:$Z$14,"&gt;"&amp;Summary!$O6, TeamF!$Z$10:$Z$14,"&lt;="&amp;Summary!$P6)</f>
        <v>3</v>
      </c>
      <c r="AI6" s="109">
        <f>SUM(AC6:AH6)</f>
        <v>10</v>
      </c>
    </row>
    <row r="7" spans="2:35" ht="17.25" customHeight="1">
      <c r="B7" s="111" t="s">
        <v>174</v>
      </c>
      <c r="C7" s="108">
        <v>30</v>
      </c>
      <c r="D7" s="108">
        <v>50</v>
      </c>
      <c r="E7" s="136">
        <f>COUNTIFS(TeamA!$Z$10:$Z$31,"&gt;"&amp;Summary!C7, TeamA!$Z$10:$Z$31,"&lt;="&amp;Summary!D7)</f>
        <v>1</v>
      </c>
      <c r="F7" s="136">
        <f>COUNTIFS(TeamB!$Z$10:$Z$31,"&gt;"&amp;Summary!C7, TeamB!$Z$10:$Z$31,"&lt;="&amp;Summary!D7)</f>
        <v>3</v>
      </c>
      <c r="G7" s="136">
        <f>COUNTIFS(TeamC!$Z$10:$Z$31,"&gt;"&amp;Summary!C7, TeamC!$Z$10:$Z$31,"&lt;="&amp;Summary!D7)</f>
        <v>4</v>
      </c>
      <c r="H7" s="136">
        <f>COUNTIFS(TeamD!$Z$10:$Z$31,"&gt;"&amp;Summary!C7, TeamD!$Z$10:$Z$31,"&lt;="&amp;Summary!D7)</f>
        <v>6</v>
      </c>
      <c r="I7" s="136">
        <f>COUNTIFS(TeamE!$Z$10:$Z$31,"&gt;"&amp;Summary!C7, TeamE!$Z$10:$Z$31,"&lt;="&amp;Summary!D7)</f>
        <v>6</v>
      </c>
      <c r="J7" s="137">
        <f>COUNTIFS(TeamF!$Z$10:$Z$14,"&gt;"&amp;Summary!C7, TeamF!$Z$10:$Z$14,"&lt;="&amp;Summary!D7)</f>
        <v>0</v>
      </c>
      <c r="K7" s="109">
        <f>SUM(E7:J7)</f>
        <v>20</v>
      </c>
      <c r="N7" s="111" t="s">
        <v>174</v>
      </c>
      <c r="O7" s="108">
        <v>30</v>
      </c>
      <c r="P7" s="108">
        <v>50</v>
      </c>
      <c r="Q7" s="92">
        <f>COUNTIFS(TeamA!$D$10:$D$31,"="&amp;Summary!$M$2,TeamA!$Z$10:$Z$31,"&gt;"&amp;Summary!$O7, TeamA!$Z$10:$Z$31,"&lt;="&amp;Summary!$P7)</f>
        <v>1</v>
      </c>
      <c r="R7" s="92">
        <f>COUNTIFS(TeamB!$D$10:$D$31,"="&amp;Summary!$M$2,TeamB!$Z$10:$Z$31,"&gt;"&amp;Summary!$O7, TeamB!$Z$10:$Z$31,"&lt;="&amp;Summary!$P7)</f>
        <v>3</v>
      </c>
      <c r="S7" s="92">
        <f>COUNTIFS(TeamC!$D$10:$D$31,"="&amp;Summary!$M$2,TeamC!$Z$10:$Z$31,"&gt;"&amp;Summary!$O7, TeamC!$Z$10:$Z$31,"&lt;="&amp;Summary!$P7)</f>
        <v>3</v>
      </c>
      <c r="T7" s="92">
        <f>COUNTIFS(TeamD!$D$10:$D$31,"="&amp;Summary!$M$2,TeamD!$Z$10:$Z$31,"&gt;"&amp;Summary!$O7, TeamD!$Z$10:$Z$31,"&lt;="&amp;Summary!$P7)</f>
        <v>5</v>
      </c>
      <c r="U7" s="92">
        <f>COUNTIFS(TeamE!$D$10:$D$31,"="&amp;Summary!$M$2,TeamE!$Z$10:$Z$31,"&gt;"&amp;Summary!$O7, TeamE!$Z$10:$Z$31,"&lt;="&amp;Summary!$P7)</f>
        <v>4</v>
      </c>
      <c r="V7" s="117">
        <f>COUNTIFS(TeamF!$D$10:$D$14,"="&amp;Summary!$M$2,TeamF!$Z$10:$Z$14,"&gt;"&amp;Summary!$O7, TeamF!$Z$10:$Z$14,"&lt;="&amp;Summary!$P7)</f>
        <v>0</v>
      </c>
      <c r="W7" s="109">
        <f>SUM(Q7:V7)</f>
        <v>16</v>
      </c>
      <c r="Z7" s="111" t="s">
        <v>174</v>
      </c>
      <c r="AA7" s="108">
        <v>30</v>
      </c>
      <c r="AB7" s="108">
        <v>50</v>
      </c>
      <c r="AC7" s="92">
        <f>COUNTIFS(TeamA!$D$10:$D$31,"="&amp;Summary!$Y$2,TeamA!$Z$10:$Z$31,"&gt;"&amp;Summary!$O7, TeamA!$Z$10:$Z$31,"&lt;="&amp;Summary!$P7)</f>
        <v>0</v>
      </c>
      <c r="AD7" s="92">
        <f>COUNTIFS(TeamB!$D$10:$D$31,"="&amp;Summary!$Y$2,TeamB!$Z$10:$Z$31,"&gt;"&amp;Summary!$O7, TeamB!$Z$10:$Z$31,"&lt;="&amp;Summary!$P7)</f>
        <v>0</v>
      </c>
      <c r="AE7" s="92">
        <f>COUNTIFS(TeamC!$D$10:$D$31,"="&amp;Summary!$Y$2,TeamC!$Z$10:$Z$31,"&gt;"&amp;Summary!$O7, TeamC!$Z$10:$Z$31,"&lt;="&amp;Summary!$P7)</f>
        <v>1</v>
      </c>
      <c r="AF7" s="92">
        <f>COUNTIFS(TeamD!$D$10:$D$31,"="&amp;Summary!$Y$2,TeamD!$Z$10:$Z$31,"&gt;"&amp;Summary!$O7, TeamD!$Z$10:$Z$31,"&lt;="&amp;Summary!$P7)</f>
        <v>1</v>
      </c>
      <c r="AG7" s="92">
        <f>COUNTIFS(TeamE!$D$10:$D$31,"="&amp;Summary!$Y$2,TeamE!$Z$10:$Z$31,"&gt;"&amp;Summary!$O7, TeamE!$Z$10:$Z$31,"&lt;="&amp;Summary!$P7)</f>
        <v>2</v>
      </c>
      <c r="AH7" s="117">
        <f>COUNTIFS(TeamF!$D$10:$D$14,"="&amp;Summary!$Y$2,TeamF!$Z$10:$Z$14,"&gt;"&amp;Summary!$O7, TeamF!$Z$10:$Z$14,"&lt;="&amp;Summary!$P7)</f>
        <v>0</v>
      </c>
      <c r="AI7" s="109">
        <f>SUM(AC7:AH7)</f>
        <v>4</v>
      </c>
    </row>
    <row r="8" spans="2:35" ht="17.25" customHeight="1" thickBot="1">
      <c r="B8" s="112" t="s">
        <v>178</v>
      </c>
      <c r="C8" s="113">
        <v>0</v>
      </c>
      <c r="D8" s="113">
        <v>30</v>
      </c>
      <c r="E8" s="138">
        <f>COUNTIFS(TeamA!$Z$10:$Z$31,"&gt;="&amp;Summary!C8, TeamA!$Z$10:$Z$31,"&lt;="&amp;Summary!D8)</f>
        <v>3</v>
      </c>
      <c r="F8" s="138">
        <f>COUNTIFS(TeamB!$Z$10:$Z$31,"&gt;="&amp;Summary!C8, TeamB!$Z$10:$Z$31,"&lt;="&amp;Summary!D8)</f>
        <v>0</v>
      </c>
      <c r="G8" s="138">
        <f>COUNTIFS(TeamC!$Z$10:$Z$31,"&gt;="&amp;Summary!C8, TeamC!$Z$10:$Z$31,"&lt;="&amp;Summary!D8)</f>
        <v>4</v>
      </c>
      <c r="H8" s="138">
        <f>COUNTIFS(TeamD!$Z$10:$Z$31,"&gt;="&amp;Summary!C8, TeamD!$Z$10:$Z$31,"&lt;="&amp;Summary!D8)</f>
        <v>2</v>
      </c>
      <c r="I8" s="138">
        <f>COUNTIFS(TeamE!$Z$10:$Z$31,"&gt;="&amp;Summary!C8, TeamE!$Z$10:$Z$31,"&lt;="&amp;Summary!D8)</f>
        <v>0</v>
      </c>
      <c r="J8" s="165">
        <f>COUNTIFS(TeamF!$Z$10:$Z$14,"&gt;"&amp;Summary!C8, TeamF!$Z$10:$Z$14,"&lt;="&amp;Summary!D8)</f>
        <v>1</v>
      </c>
      <c r="K8" s="109">
        <f>SUM(E8:J8)</f>
        <v>10</v>
      </c>
      <c r="L8" s="109"/>
      <c r="N8" s="112" t="s">
        <v>178</v>
      </c>
      <c r="O8" s="113">
        <v>0</v>
      </c>
      <c r="P8" s="113">
        <v>30</v>
      </c>
      <c r="Q8" s="124">
        <f>COUNTIFS(TeamA!$D$10:$D$31,"="&amp;Summary!$M$2,TeamA!$Z$10:$Z$31,"&gt;"&amp;Summary!$O8, TeamA!$Z$10:$Z$31,"&lt;="&amp;Summary!$P8)</f>
        <v>3</v>
      </c>
      <c r="R8" s="124">
        <f>COUNTIFS(TeamB!$D$10:$D$31,"="&amp;Summary!$M$2,TeamB!$Z$10:$Z$31,"&gt;"&amp;Summary!$O8, TeamB!$Z$10:$Z$31,"&lt;="&amp;Summary!$P8)</f>
        <v>0</v>
      </c>
      <c r="S8" s="124">
        <f>COUNTIFS(TeamC!$D$10:$D$31,"="&amp;Summary!$M$2,TeamC!$Z$10:$Z$31,"&gt;"&amp;Summary!$O8, TeamC!$Z$10:$Z$31,"&lt;="&amp;Summary!$P8)</f>
        <v>2</v>
      </c>
      <c r="T8" s="124">
        <f>COUNTIFS(TeamD!$D$10:$D$31,"="&amp;Summary!$M$2,TeamD!$Z$10:$Z$31,"&gt;"&amp;Summary!$O8, TeamD!$Z$10:$Z$31,"&lt;="&amp;Summary!$P8)</f>
        <v>2</v>
      </c>
      <c r="U8" s="124">
        <f>COUNTIFS(TeamE!$D$10:$D$31,"="&amp;Summary!$M$2,TeamE!$Z$10:$Z$31,"&gt;"&amp;Summary!$O8, TeamE!$Z$10:$Z$31,"&lt;="&amp;Summary!$P8)</f>
        <v>0</v>
      </c>
      <c r="V8" s="164">
        <f>COUNTIFS(TeamF!$D$10:$D$14,"="&amp;Summary!$M$2,TeamF!$Z$10:$Z$14,"&gt;"&amp;Summary!$O8, TeamF!$Z$10:$Z$14,"&lt;="&amp;Summary!$P8)</f>
        <v>0</v>
      </c>
      <c r="W8" s="109">
        <f>SUM(Q8:V8)</f>
        <v>7</v>
      </c>
      <c r="Z8" s="112" t="s">
        <v>178</v>
      </c>
      <c r="AA8" s="113">
        <v>0</v>
      </c>
      <c r="AB8" s="113">
        <v>30</v>
      </c>
      <c r="AC8" s="124">
        <f>COUNTIFS(TeamA!$D$10:$D$31,"="&amp;Summary!$Y$2,TeamA!$Z$10:$Z$31,"&gt;"&amp;Summary!$O8, TeamA!$Z$10:$Z$31,"&lt;="&amp;Summary!$P8)</f>
        <v>0</v>
      </c>
      <c r="AD8" s="124">
        <f>COUNTIFS(TeamB!$D$10:$D$31,"="&amp;Summary!$Y$2,TeamB!$Z$10:$Z$31,"&gt;"&amp;Summary!$O8, TeamB!$Z$10:$Z$31,"&lt;="&amp;Summary!$P8)</f>
        <v>0</v>
      </c>
      <c r="AE8" s="124">
        <f>COUNTIFS(TeamC!$D$10:$D$31,"="&amp;Summary!$Y$2,TeamC!$Z$10:$Z$31,"&gt;"&amp;Summary!$O8, TeamC!$Z$10:$Z$31,"&lt;="&amp;Summary!$P8)</f>
        <v>2</v>
      </c>
      <c r="AF8" s="124">
        <f>COUNTIFS(TeamD!$D$10:$D$31,"="&amp;Summary!$Y$2,TeamD!$Z$10:$Z$31,"&gt;"&amp;Summary!$O8, TeamD!$Z$10:$Z$31,"&lt;="&amp;Summary!$P8)</f>
        <v>0</v>
      </c>
      <c r="AG8" s="124">
        <f>COUNTIFS(TeamE!$D$10:$D$31,"="&amp;Summary!$Y$2,TeamE!$Z$10:$Z$31,"&gt;"&amp;Summary!$O8, TeamE!$Z$10:$Z$31,"&lt;="&amp;Summary!$P8)</f>
        <v>0</v>
      </c>
      <c r="AH8" s="164">
        <f>COUNTIFS(TeamF!$D$10:$D$14,"="&amp;Summary!$Y$2,TeamF!$Z$10:$Z$14,"&gt;"&amp;Summary!$O8, TeamF!$Z$10:$Z$14,"&lt;="&amp;Summary!$P8)</f>
        <v>1</v>
      </c>
      <c r="AI8" s="109">
        <f>SUM(AC8:AH8)</f>
        <v>3</v>
      </c>
    </row>
    <row r="9" spans="2:35" ht="17.25" customHeight="1">
      <c r="D9" s="107" t="s">
        <v>1391</v>
      </c>
      <c r="E9" s="139">
        <f>SUM(E5:E8)</f>
        <v>18</v>
      </c>
      <c r="F9" s="109">
        <f t="shared" ref="F9:I9" si="0">SUM(F5:F8)</f>
        <v>19</v>
      </c>
      <c r="G9" s="109">
        <f t="shared" si="0"/>
        <v>19</v>
      </c>
      <c r="H9" s="109">
        <f t="shared" si="0"/>
        <v>19</v>
      </c>
      <c r="I9" s="109">
        <f t="shared" si="0"/>
        <v>17</v>
      </c>
      <c r="J9" s="109">
        <f>SUM(J5:J8)</f>
        <v>5</v>
      </c>
      <c r="K9" s="139">
        <f>SUM(K5:K8)</f>
        <v>97</v>
      </c>
      <c r="P9" s="107" t="s">
        <v>1391</v>
      </c>
      <c r="Q9" s="109">
        <f t="shared" ref="Q9:V9" si="1">SUM(Q5:Q8)</f>
        <v>16</v>
      </c>
      <c r="R9" s="109">
        <f t="shared" si="1"/>
        <v>13</v>
      </c>
      <c r="S9" s="109">
        <f t="shared" si="1"/>
        <v>14</v>
      </c>
      <c r="T9" s="109">
        <f t="shared" si="1"/>
        <v>15</v>
      </c>
      <c r="U9" s="109">
        <f t="shared" si="1"/>
        <v>15</v>
      </c>
      <c r="V9" s="109">
        <f t="shared" si="1"/>
        <v>0</v>
      </c>
      <c r="W9" s="109">
        <f>SUM(W5:W8)</f>
        <v>73</v>
      </c>
      <c r="AB9" s="107" t="s">
        <v>1391</v>
      </c>
      <c r="AC9" s="109">
        <f t="shared" ref="AC9:AI9" si="2">SUM(AC5:AC8)</f>
        <v>2</v>
      </c>
      <c r="AD9" s="109">
        <f t="shared" si="2"/>
        <v>6</v>
      </c>
      <c r="AE9" s="109">
        <f t="shared" si="2"/>
        <v>5</v>
      </c>
      <c r="AF9" s="109">
        <f t="shared" si="2"/>
        <v>4</v>
      </c>
      <c r="AG9" s="109">
        <f t="shared" si="2"/>
        <v>2</v>
      </c>
      <c r="AH9" s="109">
        <f t="shared" si="2"/>
        <v>5</v>
      </c>
      <c r="AI9" s="109">
        <f t="shared" si="2"/>
        <v>24</v>
      </c>
    </row>
    <row r="12" spans="2:35" ht="11.45" thickBot="1">
      <c r="B12" t="s">
        <v>1392</v>
      </c>
      <c r="N12" t="s">
        <v>1392</v>
      </c>
      <c r="Z12" t="s">
        <v>1392</v>
      </c>
    </row>
    <row r="13" spans="2:35" ht="17.25" customHeight="1">
      <c r="B13" s="110" t="s">
        <v>1379</v>
      </c>
      <c r="C13" s="533"/>
      <c r="D13" s="533"/>
      <c r="E13" s="533" t="s">
        <v>1381</v>
      </c>
      <c r="F13" s="533"/>
      <c r="G13" s="533"/>
      <c r="H13" s="533"/>
      <c r="I13" s="533"/>
      <c r="J13" s="534"/>
      <c r="N13" s="110" t="s">
        <v>1379</v>
      </c>
      <c r="O13" s="533"/>
      <c r="P13" s="533"/>
      <c r="Q13" s="533" t="s">
        <v>1381</v>
      </c>
      <c r="R13" s="533"/>
      <c r="S13" s="533"/>
      <c r="T13" s="533"/>
      <c r="U13" s="533"/>
      <c r="V13" s="534"/>
      <c r="Z13" s="110" t="s">
        <v>1379</v>
      </c>
      <c r="AA13" s="533"/>
      <c r="AB13" s="533"/>
      <c r="AC13" s="533" t="s">
        <v>1381</v>
      </c>
      <c r="AD13" s="533"/>
      <c r="AE13" s="533"/>
      <c r="AF13" s="533"/>
      <c r="AG13" s="533"/>
      <c r="AH13" s="534"/>
    </row>
    <row r="14" spans="2:35" ht="17.25" customHeight="1" thickBot="1">
      <c r="B14" s="118" t="s">
        <v>1382</v>
      </c>
      <c r="C14" s="119"/>
      <c r="D14" s="119"/>
      <c r="E14" s="119" t="s">
        <v>1385</v>
      </c>
      <c r="F14" s="119" t="s">
        <v>1386</v>
      </c>
      <c r="G14" s="119" t="s">
        <v>1387</v>
      </c>
      <c r="H14" s="119" t="s">
        <v>1388</v>
      </c>
      <c r="I14" s="119" t="s">
        <v>1389</v>
      </c>
      <c r="J14" s="120" t="s">
        <v>1390</v>
      </c>
      <c r="K14" t="s">
        <v>1391</v>
      </c>
      <c r="N14" s="118" t="s">
        <v>1382</v>
      </c>
      <c r="O14" s="119"/>
      <c r="P14" s="119"/>
      <c r="Q14" s="119" t="s">
        <v>1385</v>
      </c>
      <c r="R14" s="119" t="s">
        <v>1386</v>
      </c>
      <c r="S14" s="119" t="s">
        <v>1387</v>
      </c>
      <c r="T14" s="119" t="s">
        <v>1388</v>
      </c>
      <c r="U14" s="119" t="s">
        <v>1389</v>
      </c>
      <c r="V14" s="120" t="s">
        <v>1390</v>
      </c>
      <c r="W14" t="s">
        <v>1391</v>
      </c>
      <c r="Z14" s="118" t="s">
        <v>1382</v>
      </c>
      <c r="AA14" s="119"/>
      <c r="AB14" s="119"/>
      <c r="AC14" s="119" t="s">
        <v>1385</v>
      </c>
      <c r="AD14" s="119" t="s">
        <v>1386</v>
      </c>
      <c r="AE14" s="119" t="s">
        <v>1387</v>
      </c>
      <c r="AF14" s="119" t="s">
        <v>1388</v>
      </c>
      <c r="AG14" s="119" t="s">
        <v>1389</v>
      </c>
      <c r="AH14" s="120" t="s">
        <v>1390</v>
      </c>
      <c r="AI14" t="s">
        <v>1391</v>
      </c>
    </row>
    <row r="15" spans="2:35" ht="17.25" customHeight="1" thickTop="1">
      <c r="B15" s="115" t="s">
        <v>389</v>
      </c>
      <c r="C15" s="92"/>
      <c r="D15" s="92"/>
      <c r="E15" s="92">
        <f>COUNTIFS(TeamA!$AO$10:$AO$31,Summary!$B15)</f>
        <v>2</v>
      </c>
      <c r="F15" s="92">
        <f>COUNTIFS(TeamB!$AO$10:$AO$31,Summary!$B15)</f>
        <v>0</v>
      </c>
      <c r="G15" s="92">
        <f>COUNTIFS(TeamC!$AO$10:$AO$31,Summary!$B15)</f>
        <v>1</v>
      </c>
      <c r="H15" s="92">
        <f>COUNTIFS(TeamD!$AO$10:$AO$31,Summary!$B15)</f>
        <v>0</v>
      </c>
      <c r="I15" s="92">
        <f>COUNTIFS(TeamE!$AO$10:$AO$31,Summary!$B15)</f>
        <v>4</v>
      </c>
      <c r="J15" s="117">
        <f>COUNTIFS(TeamF!$AO$10:$AO$14,Summary!$B15)</f>
        <v>1</v>
      </c>
      <c r="K15" s="109">
        <f>SUM(E15:J15)</f>
        <v>8</v>
      </c>
      <c r="N15" s="115" t="s">
        <v>389</v>
      </c>
      <c r="O15" s="92"/>
      <c r="P15" s="92"/>
      <c r="Q15" s="92">
        <f>COUNTIFS(TeamA!$D$10:$D$31,"="&amp;Summary!$M$2,TeamA!$AO$10:$AO$31,Summary!$B15)</f>
        <v>2</v>
      </c>
      <c r="R15" s="92">
        <f>COUNTIFS(TeamB!$D$10:$D$31,"="&amp;Summary!$M$2,TeamB!$AO$10:$AO$31,Summary!$B15)</f>
        <v>0</v>
      </c>
      <c r="S15" s="92">
        <f>COUNTIFS(TeamC!$D$10:$D$31,"="&amp;Summary!$M$2,TeamC!$AO$10:$AO$31,Summary!$B15)</f>
        <v>1</v>
      </c>
      <c r="T15" s="92">
        <f>COUNTIFS(TeamD!$D$10:$D$31,"="&amp;Summary!$M$2,TeamD!$AO$10:$AO$31,Summary!$B15)</f>
        <v>0</v>
      </c>
      <c r="U15" s="92">
        <f>COUNTIFS(TeamE!$D$10:$D$31,"="&amp;Summary!$M$2,TeamE!$AO$10:$AO$31,Summary!$B15)</f>
        <v>4</v>
      </c>
      <c r="V15" s="117">
        <f>COUNTIFS(TeamF!$D$10:$D$14,"="&amp;Summary!$M$2,TeamF!$AO$10:$AO$14,Summary!$B15)</f>
        <v>0</v>
      </c>
      <c r="W15" s="109">
        <f>SUM(Q15:V15)</f>
        <v>7</v>
      </c>
      <c r="Z15" s="115" t="s">
        <v>389</v>
      </c>
      <c r="AA15" s="92"/>
      <c r="AB15" s="92"/>
      <c r="AC15" s="92">
        <f>COUNTIFS(TeamA!$D$10:$D$31,"="&amp;Summary!$Y$2,TeamA!$AO$10:$AO$31,Summary!$B15)</f>
        <v>0</v>
      </c>
      <c r="AD15" s="92">
        <f>COUNTIFS(TeamB!$D$10:$D$31,"="&amp;Summary!$Y$2,TeamB!$AO$10:$AO$31,Summary!$B15)</f>
        <v>0</v>
      </c>
      <c r="AE15" s="92">
        <f>COUNTIFS(TeamC!$D$10:$D$31,"="&amp;Summary!$Y$2,TeamC!$AO$10:$AO$31,Summary!$B15)</f>
        <v>0</v>
      </c>
      <c r="AF15" s="92">
        <f>COUNTIFS(TeamD!$D$10:$D$31,"="&amp;Summary!$Y$2,TeamD!$AO$10:$AO$31,Summary!$B15)</f>
        <v>0</v>
      </c>
      <c r="AG15" s="92">
        <f>COUNTIFS(TeamE!$D$10:$D$31,"="&amp;Summary!$Y$2,TeamE!$AO$10:$AO$31,Summary!$B15)</f>
        <v>0</v>
      </c>
      <c r="AH15" s="117">
        <f>COUNTIFS(TeamF!$D$10:$D$14,"="&amp;Summary!$Y$2,TeamF!$AO$10:$AO$14,Summary!$B15)</f>
        <v>1</v>
      </c>
      <c r="AI15" s="109">
        <f>SUM(AC15:AH15)</f>
        <v>1</v>
      </c>
    </row>
    <row r="16" spans="2:35" ht="17.25" customHeight="1">
      <c r="B16" s="111" t="s">
        <v>168</v>
      </c>
      <c r="C16" s="3"/>
      <c r="D16" s="3"/>
      <c r="E16" s="3">
        <f>COUNTIFS(TeamA!$AO$10:$AO$31,Summary!$B16)</f>
        <v>12</v>
      </c>
      <c r="F16" s="3">
        <f>COUNTIFS(TeamB!$AO$10:$AO$31,Summary!$B16)</f>
        <v>18</v>
      </c>
      <c r="G16" s="3">
        <f>COUNTIFS(TeamC!$AO$10:$AO$31,Summary!$B16)</f>
        <v>11</v>
      </c>
      <c r="H16" s="3">
        <f>COUNTIFS(TeamD!$AO$10:$AO$31,Summary!$B16)</f>
        <v>14</v>
      </c>
      <c r="I16" s="3">
        <f>COUNTIFS(TeamE!$AO$10:$AO$31,Summary!$B16)</f>
        <v>10</v>
      </c>
      <c r="J16" s="117">
        <f>COUNTIFS(TeamF!$AO$10:$AO$14,Summary!$B16)</f>
        <v>3</v>
      </c>
      <c r="K16" s="109">
        <f>SUM(E16:J16)</f>
        <v>68</v>
      </c>
      <c r="N16" s="111" t="s">
        <v>168</v>
      </c>
      <c r="O16" s="3"/>
      <c r="P16" s="3"/>
      <c r="Q16" s="3">
        <f>COUNTIFS(TeamA!$D$10:$D$31,"="&amp;Summary!$M$2,TeamA!$AO$10:$AO$31,Summary!$B16)</f>
        <v>10</v>
      </c>
      <c r="R16" s="3">
        <f>COUNTIFS(TeamB!$D$10:$D$31,"="&amp;Summary!$M$2,TeamB!$AO$10:$AO$31,Summary!$B16)</f>
        <v>13</v>
      </c>
      <c r="S16" s="3">
        <f>COUNTIFS(TeamC!$D$10:$D$31,"="&amp;Summary!$M$2,TeamC!$AO$10:$AO$31,Summary!$B16)</f>
        <v>8</v>
      </c>
      <c r="T16" s="3">
        <f>COUNTIFS(TeamD!$D$10:$D$31,"="&amp;Summary!$M$2,TeamD!$AO$10:$AO$31,Summary!$B16)</f>
        <v>11</v>
      </c>
      <c r="U16" s="3">
        <f>COUNTIFS(TeamE!$D$10:$D$31,"="&amp;Summary!$M$2,TeamE!$AO$10:$AO$31,Summary!$B16)</f>
        <v>9</v>
      </c>
      <c r="V16" s="117">
        <f>COUNTIFS(TeamF!$D$10:$D$14,"="&amp;Summary!$M$2,TeamF!$AO$10:$AO$14,Summary!$B16)</f>
        <v>0</v>
      </c>
      <c r="W16" s="109">
        <f>SUM(Q16:V16)</f>
        <v>51</v>
      </c>
      <c r="Z16" s="111" t="s">
        <v>168</v>
      </c>
      <c r="AA16" s="3"/>
      <c r="AB16" s="3"/>
      <c r="AC16" s="3">
        <f>COUNTIFS(TeamA!$D$10:$D$31,"="&amp;Summary!$Y$2,TeamA!$AO$10:$AO$31,Summary!$B16)</f>
        <v>2</v>
      </c>
      <c r="AD16" s="3">
        <f>COUNTIFS(TeamB!$D$10:$D$31,"="&amp;Summary!$Y$2,TeamB!$AO$10:$AO$31,Summary!$B16)</f>
        <v>5</v>
      </c>
      <c r="AE16" s="3">
        <f>COUNTIFS(TeamC!$D$10:$D$31,"="&amp;Summary!$Y$2,TeamC!$AO$10:$AO$31,Summary!$B16)</f>
        <v>3</v>
      </c>
      <c r="AF16" s="3">
        <f>COUNTIFS(TeamD!$D$10:$D$31,"="&amp;Summary!$Y$2,TeamD!$AO$10:$AO$31,Summary!$B16)</f>
        <v>3</v>
      </c>
      <c r="AG16" s="3">
        <f>COUNTIFS(TeamE!$D$10:$D$31,"="&amp;Summary!$Y$2,TeamE!$AO$10:$AO$31,Summary!$B16)</f>
        <v>1</v>
      </c>
      <c r="AH16" s="117">
        <f>COUNTIFS(TeamF!$D$10:$D$14,"="&amp;Summary!$Y$2,TeamF!$AO$10:$AO$14,Summary!$B16)</f>
        <v>3</v>
      </c>
      <c r="AI16" s="109">
        <f>SUM(AC16:AH16)</f>
        <v>17</v>
      </c>
    </row>
    <row r="17" spans="2:35" ht="17.25" customHeight="1">
      <c r="B17" s="111" t="s">
        <v>174</v>
      </c>
      <c r="C17" s="3"/>
      <c r="D17" s="3"/>
      <c r="E17" s="3">
        <f>COUNTIFS(TeamA!$AO$10:$AO$31,Summary!$B17)</f>
        <v>0</v>
      </c>
      <c r="F17" s="3">
        <f>COUNTIFS(TeamB!$AO$10:$AO$31,Summary!$B17)</f>
        <v>1</v>
      </c>
      <c r="G17" s="3">
        <f>COUNTIFS(TeamC!$AO$10:$AO$31,Summary!$B17)</f>
        <v>5</v>
      </c>
      <c r="H17" s="3">
        <f>COUNTIFS(TeamD!$AO$10:$AO$31,Summary!$B17)</f>
        <v>4</v>
      </c>
      <c r="I17" s="3">
        <f>COUNTIFS(TeamE!$AO$10:$AO$31,Summary!$B17)</f>
        <v>3</v>
      </c>
      <c r="J17" s="117">
        <f>COUNTIFS(TeamF!$AO$10:$AO$14,Summary!$B17)</f>
        <v>0</v>
      </c>
      <c r="K17" s="109">
        <f>SUM(E17:J17)</f>
        <v>13</v>
      </c>
      <c r="N17" s="111" t="s">
        <v>174</v>
      </c>
      <c r="O17" s="3"/>
      <c r="P17" s="3"/>
      <c r="Q17" s="3">
        <f>COUNTIFS(TeamA!$D$10:$D$31,"="&amp;Summary!$M$2,TeamA!$AO$10:$AO$31,Summary!$B17)</f>
        <v>0</v>
      </c>
      <c r="R17" s="3">
        <f>COUNTIFS(TeamB!$D$10:$D$31,"="&amp;Summary!$M$2,TeamB!$AO$10:$AO$31,Summary!$B17)</f>
        <v>0</v>
      </c>
      <c r="S17" s="3">
        <f>COUNTIFS(TeamC!$D$10:$D$31,"="&amp;Summary!$M$2,TeamC!$AO$10:$AO$31,Summary!$B17)</f>
        <v>4</v>
      </c>
      <c r="T17" s="3">
        <f>COUNTIFS(TeamD!$D$10:$D$31,"="&amp;Summary!$M$2,TeamD!$AO$10:$AO$31,Summary!$B17)</f>
        <v>3</v>
      </c>
      <c r="U17" s="3">
        <f>COUNTIFS(TeamE!$D$10:$D$31,"="&amp;Summary!$M$2,TeamE!$AO$10:$AO$31,Summary!$B17)</f>
        <v>2</v>
      </c>
      <c r="V17" s="117">
        <f>COUNTIFS(TeamF!$D$10:$D$14,"="&amp;Summary!$M$2,TeamF!$AO$10:$AO$14,Summary!$B17)</f>
        <v>0</v>
      </c>
      <c r="W17" s="109">
        <f>SUM(Q17:V17)</f>
        <v>9</v>
      </c>
      <c r="Z17" s="111" t="s">
        <v>174</v>
      </c>
      <c r="AA17" s="3"/>
      <c r="AB17" s="3"/>
      <c r="AC17" s="3">
        <f>COUNTIFS(TeamA!$D$10:$D$31,"="&amp;Summary!$Y$2,TeamA!$AO$10:$AO$31,Summary!$B17)</f>
        <v>0</v>
      </c>
      <c r="AD17" s="3">
        <f>COUNTIFS(TeamB!$D$10:$D$31,"="&amp;Summary!$Y$2,TeamB!$AO$10:$AO$31,Summary!$B17)</f>
        <v>1</v>
      </c>
      <c r="AE17" s="3">
        <f>COUNTIFS(TeamC!$D$10:$D$31,"="&amp;Summary!$Y$2,TeamC!$AO$10:$AO$31,Summary!$B17)</f>
        <v>1</v>
      </c>
      <c r="AF17" s="3">
        <f>COUNTIFS(TeamD!$D$10:$D$31,"="&amp;Summary!$Y$2,TeamD!$AO$10:$AO$31,Summary!$B17)</f>
        <v>1</v>
      </c>
      <c r="AG17" s="3">
        <f>COUNTIFS(TeamE!$D$10:$D$31,"="&amp;Summary!$Y$2,TeamE!$AO$10:$AO$31,Summary!$B17)</f>
        <v>1</v>
      </c>
      <c r="AH17" s="117">
        <f>COUNTIFS(TeamF!$D$10:$D$14,"="&amp;Summary!$Y$2,TeamF!$AO$10:$AO$14,Summary!$B17)</f>
        <v>0</v>
      </c>
      <c r="AI17" s="109">
        <f>SUM(AC17:AH17)</f>
        <v>4</v>
      </c>
    </row>
    <row r="18" spans="2:35" ht="17.25" customHeight="1" thickBot="1">
      <c r="B18" s="112" t="s">
        <v>178</v>
      </c>
      <c r="C18" s="114"/>
      <c r="D18" s="114"/>
      <c r="E18" s="114">
        <f>COUNTIFS(TeamA!$AO$10:$AO$31,Summary!$B18)</f>
        <v>4</v>
      </c>
      <c r="F18" s="114">
        <f>COUNTIFS(TeamB!$AO$10:$AO$31,Summary!$B18)</f>
        <v>0</v>
      </c>
      <c r="G18" s="114">
        <f>COUNTIFS(TeamC!$AO$10:$AO$31,Summary!$B18)</f>
        <v>2</v>
      </c>
      <c r="H18" s="114">
        <f>COUNTIFS(TeamD!$AO$10:$AO$31,Summary!$B18)</f>
        <v>1</v>
      </c>
      <c r="I18" s="114">
        <f>COUNTIFS(TeamE!$AO$10:$AO$31,Summary!$B18)</f>
        <v>0</v>
      </c>
      <c r="J18" s="164">
        <f>COUNTIFS(TeamF!$AO$10:$AO$14,Summary!$B18)</f>
        <v>1</v>
      </c>
      <c r="K18" s="109">
        <f>SUM(E18:J18)</f>
        <v>8</v>
      </c>
      <c r="N18" s="112" t="s">
        <v>178</v>
      </c>
      <c r="O18" s="114"/>
      <c r="P18" s="114"/>
      <c r="Q18" s="114">
        <f>COUNTIFS(TeamA!$D$10:$D$31,"="&amp;Summary!$M$2,TeamA!$AO$10:$AO$31,Summary!$B18)</f>
        <v>4</v>
      </c>
      <c r="R18" s="114">
        <f>COUNTIFS(TeamB!$D$10:$D$31,"="&amp;Summary!$M$2,TeamB!$AO$10:$AO$31,Summary!$B18)</f>
        <v>0</v>
      </c>
      <c r="S18" s="114">
        <f>COUNTIFS(TeamC!$D$10:$D$31,"="&amp;Summary!$M$2,TeamC!$AO$10:$AO$31,Summary!$B18)</f>
        <v>1</v>
      </c>
      <c r="T18" s="114">
        <f>COUNTIFS(TeamD!$D$10:$D$31,"="&amp;Summary!$M$2,TeamD!$AO$10:$AO$31,Summary!$B18)</f>
        <v>1</v>
      </c>
      <c r="U18" s="114">
        <f>COUNTIFS(TeamE!$D$10:$D$31,"="&amp;Summary!$M$2,TeamE!$AO$10:$AO$31,Summary!$B18)</f>
        <v>0</v>
      </c>
      <c r="V18" s="164">
        <f>COUNTIFS(TeamF!$D$10:$D$14,"="&amp;Summary!$M$2,TeamF!$AO$10:$AO$14,Summary!$B18)</f>
        <v>0</v>
      </c>
      <c r="W18" s="109">
        <f>SUM(Q18:V18)</f>
        <v>6</v>
      </c>
      <c r="Z18" s="112" t="s">
        <v>178</v>
      </c>
      <c r="AA18" s="114"/>
      <c r="AB18" s="114"/>
      <c r="AC18" s="114">
        <f>COUNTIFS(TeamA!$D$10:$D$31,"="&amp;Summary!$Y$2,TeamA!$AO$10:$AO$31,Summary!$B18)</f>
        <v>0</v>
      </c>
      <c r="AD18" s="114">
        <f>COUNTIFS(TeamB!$D$10:$D$31,"="&amp;Summary!$Y$2,TeamB!$AO$10:$AO$31,Summary!$B18)</f>
        <v>0</v>
      </c>
      <c r="AE18" s="114">
        <f>COUNTIFS(TeamC!$D$10:$D$31,"="&amp;Summary!$Y$2,TeamC!$AO$10:$AO$31,Summary!$B18)</f>
        <v>1</v>
      </c>
      <c r="AF18" s="114">
        <f>COUNTIFS(TeamD!$D$10:$D$31,"="&amp;Summary!$Y$2,TeamD!$AO$10:$AO$31,Summary!$B18)</f>
        <v>0</v>
      </c>
      <c r="AG18" s="114">
        <f>COUNTIFS(TeamE!$D$10:$D$31,"="&amp;Summary!$Y$2,TeamE!$AO$10:$AO$31,Summary!$B18)</f>
        <v>0</v>
      </c>
      <c r="AH18" s="164">
        <f>COUNTIFS(TeamF!$D$10:$D$14,"="&amp;Summary!$Y$2,TeamF!$AO$10:$AO$14,Summary!$B18)</f>
        <v>1</v>
      </c>
      <c r="AI18" s="109">
        <f>SUM(AC18:AH18)</f>
        <v>2</v>
      </c>
    </row>
    <row r="19" spans="2:35" ht="17.25" customHeight="1">
      <c r="D19" s="107" t="s">
        <v>1391</v>
      </c>
      <c r="E19" s="109">
        <f>SUM(E15:E18)</f>
        <v>18</v>
      </c>
      <c r="F19" s="109">
        <f t="shared" ref="F19:J19" si="3">SUM(F15:F18)</f>
        <v>19</v>
      </c>
      <c r="G19" s="109">
        <f t="shared" si="3"/>
        <v>19</v>
      </c>
      <c r="H19" s="109">
        <f t="shared" si="3"/>
        <v>19</v>
      </c>
      <c r="I19" s="109">
        <f t="shared" si="3"/>
        <v>17</v>
      </c>
      <c r="J19" s="109">
        <f t="shared" si="3"/>
        <v>5</v>
      </c>
      <c r="K19" s="109">
        <f>SUM(K15:K18)</f>
        <v>97</v>
      </c>
      <c r="P19" s="107" t="s">
        <v>1391</v>
      </c>
      <c r="Q19" s="109">
        <f t="shared" ref="Q19:W19" si="4">SUM(Q15:Q18)</f>
        <v>16</v>
      </c>
      <c r="R19" s="109">
        <f t="shared" si="4"/>
        <v>13</v>
      </c>
      <c r="S19" s="109">
        <f t="shared" si="4"/>
        <v>14</v>
      </c>
      <c r="T19" s="109">
        <f t="shared" si="4"/>
        <v>15</v>
      </c>
      <c r="U19" s="109">
        <f t="shared" si="4"/>
        <v>15</v>
      </c>
      <c r="V19" s="109">
        <f t="shared" si="4"/>
        <v>0</v>
      </c>
      <c r="W19" s="109">
        <f t="shared" si="4"/>
        <v>73</v>
      </c>
      <c r="AB19" s="107" t="s">
        <v>1391</v>
      </c>
      <c r="AC19" s="109">
        <f t="shared" ref="AC19:AI19" si="5">SUM(AC15:AC18)</f>
        <v>2</v>
      </c>
      <c r="AD19" s="109">
        <f t="shared" si="5"/>
        <v>6</v>
      </c>
      <c r="AE19" s="109">
        <f t="shared" si="5"/>
        <v>5</v>
      </c>
      <c r="AF19" s="109">
        <f t="shared" si="5"/>
        <v>4</v>
      </c>
      <c r="AG19" s="109">
        <f t="shared" si="5"/>
        <v>2</v>
      </c>
      <c r="AH19" s="109">
        <f t="shared" si="5"/>
        <v>5</v>
      </c>
      <c r="AI19" s="109">
        <f t="shared" si="5"/>
        <v>24</v>
      </c>
    </row>
    <row r="21" spans="2:35" ht="11.45" thickBot="1">
      <c r="B21" s="263"/>
      <c r="C21" s="263"/>
      <c r="D21" s="263"/>
      <c r="E21" s="263"/>
      <c r="F21" s="263"/>
      <c r="G21" s="263"/>
      <c r="H21" s="263"/>
      <c r="I21" s="263"/>
      <c r="J21" s="263"/>
      <c r="K21" s="263"/>
      <c r="L21" s="263"/>
      <c r="M21" s="263"/>
      <c r="N21" s="263"/>
      <c r="O21" s="263"/>
      <c r="P21" s="263"/>
      <c r="Q21" s="263"/>
      <c r="R21" s="263"/>
      <c r="S21" s="263"/>
      <c r="T21" s="263"/>
      <c r="U21" s="263"/>
      <c r="V21" s="263"/>
      <c r="W21" s="263"/>
      <c r="X21" s="263"/>
    </row>
    <row r="23" spans="2:35" ht="13.9" customHeight="1" thickBot="1">
      <c r="B23" s="251" t="s">
        <v>1393</v>
      </c>
      <c r="N23" t="s">
        <v>1394</v>
      </c>
    </row>
    <row r="24" spans="2:35" ht="13.9" customHeight="1">
      <c r="B24" s="248"/>
      <c r="C24" s="249"/>
      <c r="D24" s="249"/>
      <c r="E24" s="533" t="s">
        <v>1381</v>
      </c>
      <c r="F24" s="533"/>
      <c r="G24" s="533"/>
      <c r="H24" s="533"/>
      <c r="I24" s="533"/>
      <c r="J24" s="534"/>
      <c r="N24" s="110" t="s">
        <v>1379</v>
      </c>
      <c r="O24" s="533" t="s">
        <v>1380</v>
      </c>
      <c r="P24" s="533"/>
      <c r="Q24" s="533" t="s">
        <v>1381</v>
      </c>
      <c r="R24" s="533"/>
      <c r="S24" s="533"/>
      <c r="T24" s="533"/>
      <c r="U24" s="533"/>
      <c r="V24" s="534"/>
    </row>
    <row r="25" spans="2:35" ht="13.9" customHeight="1" thickBot="1">
      <c r="B25" s="260" t="s">
        <v>1395</v>
      </c>
      <c r="C25" s="16"/>
      <c r="D25" s="71"/>
      <c r="E25" s="252" t="s">
        <v>1385</v>
      </c>
      <c r="F25" s="247" t="s">
        <v>1386</v>
      </c>
      <c r="G25" s="247" t="s">
        <v>1387</v>
      </c>
      <c r="H25" s="247" t="s">
        <v>1388</v>
      </c>
      <c r="I25" s="247" t="s">
        <v>1389</v>
      </c>
      <c r="J25" s="253" t="s">
        <v>1390</v>
      </c>
      <c r="K25" t="s">
        <v>1391</v>
      </c>
      <c r="N25" s="118" t="s">
        <v>1382</v>
      </c>
      <c r="O25" s="119" t="s">
        <v>1383</v>
      </c>
      <c r="P25" s="119" t="s">
        <v>1384</v>
      </c>
      <c r="Q25" s="119" t="s">
        <v>1385</v>
      </c>
      <c r="R25" s="119" t="s">
        <v>1386</v>
      </c>
      <c r="S25" s="119" t="s">
        <v>1387</v>
      </c>
      <c r="T25" s="119" t="s">
        <v>1388</v>
      </c>
      <c r="U25" s="119" t="s">
        <v>1389</v>
      </c>
      <c r="V25" s="120" t="s">
        <v>1390</v>
      </c>
      <c r="W25" t="s">
        <v>1391</v>
      </c>
    </row>
    <row r="26" spans="2:35" ht="13.9" customHeight="1" thickTop="1">
      <c r="B26" s="261">
        <v>45314</v>
      </c>
      <c r="C26" s="256"/>
      <c r="D26" s="256"/>
      <c r="E26" s="257">
        <f>TeamA!$AP$7</f>
        <v>3</v>
      </c>
      <c r="F26" s="257">
        <f>TeamB!$AP$7</f>
        <v>1</v>
      </c>
      <c r="G26" s="257">
        <f>TeamC!$AP$7</f>
        <v>2</v>
      </c>
      <c r="H26" s="257">
        <f>TeamD!$AP$7</f>
        <v>1</v>
      </c>
      <c r="I26" s="257">
        <f>TeamE!$AP$7</f>
        <v>3</v>
      </c>
      <c r="J26" s="258">
        <f>TeamF!$AP$7</f>
        <v>2</v>
      </c>
      <c r="K26" s="109">
        <f t="shared" ref="K26:K32" si="6">SUM(E26:J26)</f>
        <v>12</v>
      </c>
      <c r="N26" s="115" t="s">
        <v>389</v>
      </c>
      <c r="O26" s="116">
        <v>70</v>
      </c>
      <c r="P26" s="116">
        <v>100</v>
      </c>
      <c r="Q26" s="134">
        <f>COUNTIFS(TeamA!$Z$10:$Z$31,"&gt;"&amp;Summary!$O26, TeamA!$Z$10:$Z$31,"&lt;="&amp;Summary!$P26,TeamA!$AP$10:$AP$31,"="&amp;"○")</f>
        <v>0</v>
      </c>
      <c r="R26" s="134">
        <f>COUNTIFS(TeamB!$Z$10:$Z$31,"&gt;"&amp;Summary!$O26, TeamB!$Z$10:$Z$31,"&lt;="&amp;Summary!$P26,TeamB!$AP$10:$AP$31,"="&amp;"○")</f>
        <v>1</v>
      </c>
      <c r="S26" s="134">
        <f>COUNTIFS(TeamC!$Z$10:$Z$31,"&gt;"&amp;Summary!$O26, TeamC!$Z$10:$Z$31,"&lt;="&amp;Summary!$P26,TeamC!$AP$10:$AP$31,"="&amp;"○")</f>
        <v>0</v>
      </c>
      <c r="T26" s="134">
        <f>COUNTIFS(TeamD!$Z$10:$Z$31,"&gt;"&amp;Summary!$O26, TeamD!$Z$10:$Z$31,"&lt;="&amp;Summary!$P26,TeamD!$AP$10:$AP$31,"="&amp;"○")</f>
        <v>0</v>
      </c>
      <c r="U26" s="134">
        <f>COUNTIFS(TeamE!$Z$10:$Z$31,"&gt;"&amp;Summary!$O26, TeamE!$Z$10:$Z$31,"&lt;="&amp;Summary!$P26,TeamE!$AP$10:$AP$31,"="&amp;"○")</f>
        <v>3</v>
      </c>
      <c r="V26" s="135">
        <f>COUNTIFS(TeamF!$Z$10:$Z$31,"&gt;"&amp;Summary!$O26, TeamF!$Z$10:$Z$31,"&lt;="&amp;Summary!$P26,TeamF!$AP$10:$AP$31,"="&amp;"○")</f>
        <v>1</v>
      </c>
      <c r="W26" s="109">
        <f>SUM(Q26:V26)</f>
        <v>5</v>
      </c>
    </row>
    <row r="27" spans="2:35" ht="13.9" customHeight="1">
      <c r="B27" s="262">
        <v>45322</v>
      </c>
      <c r="C27" s="259"/>
      <c r="D27" s="259"/>
      <c r="E27" s="3">
        <f>TeamA!$AQ$7</f>
        <v>1</v>
      </c>
      <c r="F27" s="3">
        <f>TeamB!$AQ$7</f>
        <v>8</v>
      </c>
      <c r="G27" s="3">
        <f>TeamC!$AQ$7</f>
        <v>3</v>
      </c>
      <c r="H27" s="3">
        <f>TeamD!$AQ$7</f>
        <v>3</v>
      </c>
      <c r="I27" s="3">
        <f>TeamE!$AQ$7</f>
        <v>3</v>
      </c>
      <c r="J27" s="106">
        <f>TeamF!$AQ$7</f>
        <v>3</v>
      </c>
      <c r="K27" s="109">
        <f t="shared" si="6"/>
        <v>21</v>
      </c>
      <c r="N27" s="111" t="s">
        <v>168</v>
      </c>
      <c r="O27" s="108">
        <v>50</v>
      </c>
      <c r="P27" s="108">
        <v>70</v>
      </c>
      <c r="Q27" s="134">
        <f>COUNTIFS(TeamA!$Z$10:$Z$31,"&gt;"&amp;Summary!$O27, TeamA!$Z$10:$Z$31,"&lt;="&amp;Summary!$P27,TeamA!$AP$10:$AP$31,"="&amp;"○")</f>
        <v>0</v>
      </c>
      <c r="R27" s="134">
        <f>COUNTIFS(TeamB!$Z$10:$Z$31,"&gt;"&amp;Summary!$O27, TeamB!$Z$10:$Z$31,"&lt;="&amp;Summary!$P27,TeamB!$AP$10:$AP$31,"="&amp;"○")</f>
        <v>0</v>
      </c>
      <c r="S27" s="134">
        <f>COUNTIFS(TeamC!$Z$10:$Z$31,"&gt;"&amp;Summary!$O27, TeamC!$Z$10:$Z$31,"&lt;="&amp;Summary!$P27,TeamC!$AP$10:$AP$31,"="&amp;"○")</f>
        <v>0</v>
      </c>
      <c r="T27" s="134">
        <f>COUNTIFS(TeamD!$Z$10:$Z$31,"&gt;"&amp;Summary!$O27, TeamD!$Z$10:$Z$31,"&lt;="&amp;Summary!$P27,TeamD!$AP$10:$AP$31,"="&amp;"○")</f>
        <v>0</v>
      </c>
      <c r="U27" s="134">
        <f>COUNTIFS(TeamE!$Z$10:$Z$31,"&gt;"&amp;Summary!$O27, TeamE!$Z$10:$Z$31,"&lt;="&amp;Summary!$P27,TeamE!$AP$10:$AP$31,"="&amp;"○")</f>
        <v>0</v>
      </c>
      <c r="V27" s="135">
        <f>COUNTIFS(TeamF!$Z$10:$Z$31,"&gt;"&amp;Summary!$O27, TeamF!$Z$10:$Z$31,"&lt;="&amp;Summary!$P27,TeamF!$AP$10:$AP$31,"="&amp;"○")</f>
        <v>0</v>
      </c>
      <c r="W27" s="109">
        <f>SUM(Q27:V27)</f>
        <v>0</v>
      </c>
    </row>
    <row r="28" spans="2:35" ht="13.9" customHeight="1">
      <c r="B28" s="262">
        <v>45328</v>
      </c>
      <c r="C28" s="259"/>
      <c r="D28" s="259"/>
      <c r="E28" s="3">
        <f>TeamA!$AR$7</f>
        <v>8</v>
      </c>
      <c r="F28" s="3">
        <f>TeamB!$AR$7</f>
        <v>4</v>
      </c>
      <c r="G28" s="3">
        <f>TeamC!$AR$7</f>
        <v>5</v>
      </c>
      <c r="H28" s="3">
        <f>TeamD!$AR$7</f>
        <v>1</v>
      </c>
      <c r="I28" s="3">
        <f>TeamE!$AR$7</f>
        <v>1</v>
      </c>
      <c r="J28" s="106">
        <f>TeamF!$AR$7</f>
        <v>0</v>
      </c>
      <c r="K28" s="109">
        <f t="shared" si="6"/>
        <v>19</v>
      </c>
      <c r="N28" s="111" t="s">
        <v>174</v>
      </c>
      <c r="O28" s="108">
        <v>30</v>
      </c>
      <c r="P28" s="108">
        <v>50</v>
      </c>
      <c r="Q28" s="134">
        <f>COUNTIFS(TeamA!$Z$10:$Z$31,"&gt;"&amp;Summary!$O28, TeamA!$Z$10:$Z$31,"&lt;="&amp;Summary!$P28,TeamA!$AP$10:$AP$31,"="&amp;"○")</f>
        <v>0</v>
      </c>
      <c r="R28" s="134">
        <f>COUNTIFS(TeamB!$Z$10:$Z$31,"&gt;"&amp;Summary!$O28, TeamB!$Z$10:$Z$31,"&lt;="&amp;Summary!$P28,TeamB!$AP$10:$AP$31,"="&amp;"○")</f>
        <v>0</v>
      </c>
      <c r="S28" s="134">
        <f>COUNTIFS(TeamC!$Z$10:$Z$31,"&gt;"&amp;Summary!$O28, TeamC!$Z$10:$Z$31,"&lt;="&amp;Summary!$P28,TeamC!$AP$10:$AP$31,"="&amp;"○")</f>
        <v>0</v>
      </c>
      <c r="T28" s="134">
        <f>COUNTIFS(TeamD!$Z$10:$Z$31,"&gt;"&amp;Summary!$O28, TeamD!$Z$10:$Z$31,"&lt;="&amp;Summary!$P28,TeamD!$AP$10:$AP$31,"="&amp;"○")</f>
        <v>0</v>
      </c>
      <c r="U28" s="134">
        <f>COUNTIFS(TeamE!$Z$10:$Z$31,"&gt;"&amp;Summary!$O28, TeamE!$Z$10:$Z$31,"&lt;="&amp;Summary!$P28,TeamE!$AP$10:$AP$31,"="&amp;"○")</f>
        <v>0</v>
      </c>
      <c r="V28" s="135">
        <f>COUNTIFS(TeamF!$Z$10:$Z$31,"&gt;"&amp;Summary!$O28, TeamF!$Z$10:$Z$31,"&lt;="&amp;Summary!$P28,TeamF!$AP$10:$AP$31,"="&amp;"○")</f>
        <v>0</v>
      </c>
      <c r="W28" s="109">
        <f>SUM(Q28:V28)</f>
        <v>0</v>
      </c>
    </row>
    <row r="29" spans="2:35" ht="13.9" customHeight="1" thickBot="1">
      <c r="B29" s="262">
        <v>45344</v>
      </c>
      <c r="C29" s="259"/>
      <c r="D29" s="259"/>
      <c r="E29" s="3">
        <f>TeamA!$AS$7</f>
        <v>6</v>
      </c>
      <c r="F29" s="3">
        <f>TeamB!$AS$7</f>
        <v>6</v>
      </c>
      <c r="G29" s="3">
        <f>TeamC!$AS$7</f>
        <v>9</v>
      </c>
      <c r="H29" s="3">
        <f>TeamD!$AS$7</f>
        <v>14</v>
      </c>
      <c r="I29" s="3">
        <f>TeamE!$AS$7</f>
        <v>10</v>
      </c>
      <c r="J29" s="106">
        <f>TeamF!$AS$7</f>
        <v>0</v>
      </c>
      <c r="K29" s="109">
        <f t="shared" si="6"/>
        <v>45</v>
      </c>
      <c r="N29" s="112" t="s">
        <v>178</v>
      </c>
      <c r="O29" s="113">
        <v>0</v>
      </c>
      <c r="P29" s="113">
        <v>30</v>
      </c>
      <c r="Q29" s="254">
        <f>COUNTIFS(TeamA!$Z$10:$Z$31,"&gt;"&amp;Summary!$O29, TeamA!$Z$10:$Z$31,"&lt;="&amp;Summary!$P29,TeamA!$AP$10:$AP$31,"="&amp;"○")</f>
        <v>3</v>
      </c>
      <c r="R29" s="254">
        <f>COUNTIFS(TeamB!$Z$10:$Z$31,"&gt;"&amp;Summary!$O29, TeamB!$Z$10:$Z$31,"&lt;="&amp;Summary!$P29,TeamB!$AP$10:$AP$31,"="&amp;"○")</f>
        <v>0</v>
      </c>
      <c r="S29" s="254">
        <f>COUNTIFS(TeamC!$Z$10:$Z$31,"&gt;"&amp;Summary!$O29, TeamC!$Z$10:$Z$31,"&lt;="&amp;Summary!$P29,TeamC!$AP$10:$AP$31,"="&amp;"○")</f>
        <v>2</v>
      </c>
      <c r="T29" s="254">
        <f>COUNTIFS(TeamD!$Z$10:$Z$31,"&gt;"&amp;Summary!$O29, TeamD!$Z$10:$Z$31,"&lt;="&amp;Summary!$P29,TeamD!$AP$10:$AP$31,"="&amp;"○")</f>
        <v>1</v>
      </c>
      <c r="U29" s="254">
        <f>COUNTIFS(TeamE!$Z$10:$Z$31,"&gt;"&amp;Summary!$O29, TeamE!$Z$10:$Z$31,"&lt;="&amp;Summary!$P29,TeamE!$AP$10:$AP$31,"="&amp;"○")</f>
        <v>0</v>
      </c>
      <c r="V29" s="255">
        <f>COUNTIFS(TeamF!$Z$10:$Z$31,"&gt;"&amp;Summary!$O29, TeamF!$Z$10:$Z$31,"&lt;="&amp;Summary!$P29,TeamF!$AP$10:$AP$31,"="&amp;"○")</f>
        <v>1</v>
      </c>
      <c r="W29" s="109">
        <f>SUM(Q29:V29)</f>
        <v>7</v>
      </c>
    </row>
    <row r="30" spans="2:35" ht="13.9" customHeight="1">
      <c r="B30" s="262"/>
      <c r="C30" s="259"/>
      <c r="D30" s="187"/>
      <c r="E30" s="187"/>
      <c r="F30" s="3"/>
      <c r="G30" s="3"/>
      <c r="H30" s="3"/>
      <c r="I30" s="3"/>
      <c r="J30" s="106"/>
      <c r="K30" s="109">
        <f t="shared" si="6"/>
        <v>0</v>
      </c>
      <c r="P30" s="107" t="s">
        <v>1391</v>
      </c>
      <c r="Q30" s="139">
        <f t="shared" ref="Q30:W30" si="7">SUM(Q26:Q29)</f>
        <v>3</v>
      </c>
      <c r="R30" s="109">
        <f t="shared" si="7"/>
        <v>1</v>
      </c>
      <c r="S30" s="109">
        <f t="shared" si="7"/>
        <v>2</v>
      </c>
      <c r="T30" s="109">
        <f t="shared" si="7"/>
        <v>1</v>
      </c>
      <c r="U30" s="109">
        <f t="shared" si="7"/>
        <v>3</v>
      </c>
      <c r="V30" s="109">
        <f t="shared" si="7"/>
        <v>2</v>
      </c>
      <c r="W30" s="139">
        <f t="shared" si="7"/>
        <v>12</v>
      </c>
    </row>
    <row r="31" spans="2:35" ht="13.9" customHeight="1" thickBot="1">
      <c r="B31" s="250"/>
      <c r="C31" s="251"/>
      <c r="D31" s="251" t="s">
        <v>1396</v>
      </c>
      <c r="E31" s="254">
        <f>E9-SUM(E26:E30)</f>
        <v>0</v>
      </c>
      <c r="F31" s="254">
        <f t="shared" ref="F31:J31" si="8">F9-SUM(F26:F30)</f>
        <v>0</v>
      </c>
      <c r="G31" s="254">
        <f t="shared" si="8"/>
        <v>0</v>
      </c>
      <c r="H31" s="254">
        <f t="shared" si="8"/>
        <v>0</v>
      </c>
      <c r="I31" s="254">
        <f t="shared" si="8"/>
        <v>0</v>
      </c>
      <c r="J31" s="255">
        <f t="shared" si="8"/>
        <v>0</v>
      </c>
      <c r="K31" s="109">
        <f t="shared" si="6"/>
        <v>0</v>
      </c>
      <c r="N31" t="s">
        <v>1397</v>
      </c>
    </row>
    <row r="32" spans="2:35" ht="13.9" customHeight="1">
      <c r="D32" s="107" t="s">
        <v>1391</v>
      </c>
      <c r="E32" s="109">
        <f t="shared" ref="E32:J32" si="9">SUM(E26:E31)</f>
        <v>18</v>
      </c>
      <c r="F32" s="109">
        <f t="shared" si="9"/>
        <v>19</v>
      </c>
      <c r="G32" s="109">
        <f t="shared" si="9"/>
        <v>19</v>
      </c>
      <c r="H32" s="109">
        <f t="shared" si="9"/>
        <v>19</v>
      </c>
      <c r="I32" s="109">
        <f t="shared" si="9"/>
        <v>17</v>
      </c>
      <c r="J32" s="109">
        <f t="shared" si="9"/>
        <v>5</v>
      </c>
      <c r="K32" s="109">
        <f t="shared" si="6"/>
        <v>97</v>
      </c>
      <c r="N32" s="110" t="s">
        <v>1379</v>
      </c>
      <c r="O32" s="533" t="s">
        <v>1380</v>
      </c>
      <c r="P32" s="533"/>
      <c r="Q32" s="533" t="s">
        <v>1381</v>
      </c>
      <c r="R32" s="533"/>
      <c r="S32" s="533"/>
      <c r="T32" s="533"/>
      <c r="U32" s="533"/>
      <c r="V32" s="534"/>
    </row>
    <row r="33" spans="14:23" ht="13.9" customHeight="1" thickBot="1">
      <c r="N33" s="118" t="s">
        <v>1382</v>
      </c>
      <c r="O33" s="119" t="s">
        <v>1383</v>
      </c>
      <c r="P33" s="119" t="s">
        <v>1384</v>
      </c>
      <c r="Q33" s="119" t="s">
        <v>1385</v>
      </c>
      <c r="R33" s="119" t="s">
        <v>1386</v>
      </c>
      <c r="S33" s="119" t="s">
        <v>1387</v>
      </c>
      <c r="T33" s="119" t="s">
        <v>1388</v>
      </c>
      <c r="U33" s="119" t="s">
        <v>1389</v>
      </c>
      <c r="V33" s="120" t="s">
        <v>1390</v>
      </c>
      <c r="W33" t="s">
        <v>1391</v>
      </c>
    </row>
    <row r="34" spans="14:23" ht="13.9" customHeight="1" thickTop="1">
      <c r="N34" s="115" t="s">
        <v>389</v>
      </c>
      <c r="O34" s="116">
        <v>70</v>
      </c>
      <c r="P34" s="116">
        <v>100</v>
      </c>
      <c r="Q34" s="134">
        <f>COUNTIFS(TeamA!$Z$10:$Z$31,"&gt;"&amp;Summary!$O34, TeamA!$Z$10:$Z$31,"&lt;="&amp;Summary!$P34,TeamA!$AQ$10:$AQ$31,"="&amp;"○")</f>
        <v>1</v>
      </c>
      <c r="R34" s="134">
        <f>COUNTIFS(TeamB!$Z$10:$Z$31,"&gt;"&amp;Summary!$O34, TeamB!$Z$10:$Z$31,"&lt;="&amp;Summary!$P34,TeamB!$AQ$10:$AQ$31,"="&amp;"○")</f>
        <v>6</v>
      </c>
      <c r="S34" s="134">
        <f>COUNTIFS(TeamC!$Z$10:$Z$31,"&gt;"&amp;Summary!$O34, TeamC!$Z$10:$Z$31,"&lt;="&amp;Summary!$P34,TeamC!$AQ$10:$AQ$31,"="&amp;"○")</f>
        <v>1</v>
      </c>
      <c r="T34" s="134">
        <f>COUNTIFS(TeamD!$Z$10:$Z$31,"&gt;"&amp;Summary!$O34, TeamD!$Z$10:$Z$31,"&lt;="&amp;Summary!$P34,TeamD!$AQ$10:$AQ$31,"="&amp;"○")</f>
        <v>0</v>
      </c>
      <c r="U34" s="134">
        <f>COUNTIFS(TeamE!$Z$10:$Z$31,"&gt;"&amp;Summary!$O34, TeamE!$Z$10:$Z$31,"&lt;="&amp;Summary!$P34,TeamE!$AQ$10:$AQ$31,"="&amp;"○")</f>
        <v>1</v>
      </c>
      <c r="V34" s="135">
        <f>COUNTIFS(TeamF!$Z$10:$Z$31,"&gt;"&amp;Summary!$O34, TeamF!$Z$10:$Z$31,"&lt;="&amp;Summary!$P34,TeamF!$AQ$10:$AQ$31,"="&amp;"○")</f>
        <v>0</v>
      </c>
      <c r="W34" s="109">
        <f>SUM(Q34:V34)</f>
        <v>9</v>
      </c>
    </row>
    <row r="35" spans="14:23" ht="13.9" customHeight="1">
      <c r="N35" s="111" t="s">
        <v>168</v>
      </c>
      <c r="O35" s="108">
        <v>50</v>
      </c>
      <c r="P35" s="108">
        <v>70</v>
      </c>
      <c r="Q35" s="134">
        <f>COUNTIFS(TeamA!$Z$10:$Z$31,"&gt;"&amp;Summary!$O35, TeamA!$Z$10:$Z$31,"&lt;="&amp;Summary!$P35,TeamA!$AQ$10:$AQ$31,"="&amp;"○")</f>
        <v>0</v>
      </c>
      <c r="R35" s="134">
        <f>COUNTIFS(TeamB!$Z$10:$Z$31,"&gt;"&amp;Summary!$O35, TeamB!$Z$10:$Z$31,"&lt;="&amp;Summary!$P35,TeamB!$AQ$10:$AQ$31,"="&amp;"○")</f>
        <v>1</v>
      </c>
      <c r="S35" s="134">
        <f>COUNTIFS(TeamC!$Z$10:$Z$31,"&gt;"&amp;Summary!$O35, TeamC!$Z$10:$Z$31,"&lt;="&amp;Summary!$P35,TeamC!$AQ$10:$AQ$31,"="&amp;"○")</f>
        <v>1</v>
      </c>
      <c r="T35" s="134">
        <f>COUNTIFS(TeamD!$Z$10:$Z$31,"&gt;"&amp;Summary!$O35, TeamD!$Z$10:$Z$31,"&lt;="&amp;Summary!$P35,TeamD!$AQ$10:$AQ$31,"="&amp;"○")</f>
        <v>3</v>
      </c>
      <c r="U35" s="134">
        <f>COUNTIFS(TeamE!$Z$10:$Z$31,"&gt;"&amp;Summary!$O35, TeamE!$Z$10:$Z$31,"&lt;="&amp;Summary!$P35,TeamE!$AQ$10:$AQ$31,"="&amp;"○")</f>
        <v>2</v>
      </c>
      <c r="V35" s="135">
        <f>COUNTIFS(TeamF!$Z$10:$Z$31,"&gt;"&amp;Summary!$O35, TeamF!$Z$10:$Z$31,"&lt;="&amp;Summary!$P35,TeamF!$AQ$10:$AQ$31,"="&amp;"○")</f>
        <v>3</v>
      </c>
      <c r="W35" s="109">
        <f>SUM(Q35:V35)</f>
        <v>10</v>
      </c>
    </row>
    <row r="36" spans="14:23" ht="13.9" customHeight="1">
      <c r="N36" s="111" t="s">
        <v>174</v>
      </c>
      <c r="O36" s="108">
        <v>30</v>
      </c>
      <c r="P36" s="108">
        <v>50</v>
      </c>
      <c r="Q36" s="134">
        <f>COUNTIFS(TeamA!$Z$10:$Z$31,"&gt;"&amp;Summary!$O36, TeamA!$Z$10:$Z$31,"&lt;="&amp;Summary!$P36,TeamA!$AQ$10:$AQ$31,"="&amp;"○")</f>
        <v>0</v>
      </c>
      <c r="R36" s="134">
        <f>COUNTIFS(TeamB!$Z$10:$Z$31,"&gt;"&amp;Summary!$O36, TeamB!$Z$10:$Z$31,"&lt;="&amp;Summary!$P36,TeamB!$AQ$10:$AQ$31,"="&amp;"○")</f>
        <v>1</v>
      </c>
      <c r="S36" s="134">
        <f>COUNTIFS(TeamC!$Z$10:$Z$31,"&gt;"&amp;Summary!$O36, TeamC!$Z$10:$Z$31,"&lt;="&amp;Summary!$P36,TeamC!$AQ$10:$AQ$31,"="&amp;"○")</f>
        <v>1</v>
      </c>
      <c r="T36" s="134">
        <f>COUNTIFS(TeamD!$Z$10:$Z$31,"&gt;"&amp;Summary!$O36, TeamD!$Z$10:$Z$31,"&lt;="&amp;Summary!$P36,TeamD!$AQ$10:$AQ$31,"="&amp;"○")</f>
        <v>0</v>
      </c>
      <c r="U36" s="134">
        <f>COUNTIFS(TeamE!$Z$10:$Z$31,"&gt;"&amp;Summary!$O36, TeamE!$Z$10:$Z$31,"&lt;="&amp;Summary!$P36,TeamE!$AQ$10:$AQ$31,"="&amp;"○")</f>
        <v>0</v>
      </c>
      <c r="V36" s="135">
        <f>COUNTIFS(TeamF!$Z$10:$Z$31,"&gt;"&amp;Summary!$O36, TeamF!$Z$10:$Z$31,"&lt;="&amp;Summary!$P36,TeamF!$AQ$10:$AQ$31,"="&amp;"○")</f>
        <v>0</v>
      </c>
      <c r="W36" s="109">
        <f>SUM(Q36:V36)</f>
        <v>2</v>
      </c>
    </row>
    <row r="37" spans="14:23" ht="13.9" customHeight="1" thickBot="1">
      <c r="N37" s="112" t="s">
        <v>178</v>
      </c>
      <c r="O37" s="113">
        <v>0</v>
      </c>
      <c r="P37" s="113">
        <v>30</v>
      </c>
      <c r="Q37" s="254">
        <f>COUNTIFS(TeamA!$Z$10:$Z$31,"&gt;"&amp;Summary!$O37, TeamA!$Z$10:$Z$31,"&lt;="&amp;Summary!$P37,TeamA!$AQ$10:$AQ$31,"="&amp;"○")</f>
        <v>0</v>
      </c>
      <c r="R37" s="254">
        <f>COUNTIFS(TeamB!$Z$10:$Z$31,"&gt;"&amp;Summary!$O37, TeamB!$Z$10:$Z$31,"&lt;="&amp;Summary!$P37,TeamB!$AQ$10:$AQ$31,"="&amp;"○")</f>
        <v>0</v>
      </c>
      <c r="S37" s="254">
        <f>COUNTIFS(TeamC!$Z$10:$Z$31,"&gt;"&amp;Summary!$O37, TeamC!$Z$10:$Z$31,"&lt;="&amp;Summary!$P37,TeamC!$AQ$10:$AQ$31,"="&amp;"○")</f>
        <v>0</v>
      </c>
      <c r="T37" s="254">
        <f>COUNTIFS(TeamD!$Z$10:$Z$31,"&gt;"&amp;Summary!$O37, TeamD!$Z$10:$Z$31,"&lt;="&amp;Summary!$P37,TeamD!$AQ$10:$AQ$31,"="&amp;"○")</f>
        <v>0</v>
      </c>
      <c r="U37" s="254">
        <f>COUNTIFS(TeamE!$Z$10:$Z$31,"&gt;"&amp;Summary!$O37, TeamE!$Z$10:$Z$31,"&lt;="&amp;Summary!$P37,TeamE!$AQ$10:$AQ$31,"="&amp;"○")</f>
        <v>0</v>
      </c>
      <c r="V37" s="255">
        <f>COUNTIFS(TeamF!$Z$10:$Z$31,"&gt;"&amp;Summary!$O37, TeamF!$Z$10:$Z$31,"&lt;="&amp;Summary!$P37,TeamF!$AQ$10:$AQ$31,"="&amp;"○")</f>
        <v>0</v>
      </c>
      <c r="W37" s="109">
        <f>SUM(Q37:V37)</f>
        <v>0</v>
      </c>
    </row>
    <row r="38" spans="14:23" ht="13.9" customHeight="1">
      <c r="P38" s="107" t="s">
        <v>1391</v>
      </c>
      <c r="Q38" s="139">
        <f t="shared" ref="Q38:W38" si="10">SUM(Q34:Q37)</f>
        <v>1</v>
      </c>
      <c r="R38" s="109">
        <f t="shared" si="10"/>
        <v>8</v>
      </c>
      <c r="S38" s="109">
        <f t="shared" si="10"/>
        <v>3</v>
      </c>
      <c r="T38" s="109">
        <f t="shared" si="10"/>
        <v>3</v>
      </c>
      <c r="U38" s="109">
        <f t="shared" si="10"/>
        <v>3</v>
      </c>
      <c r="V38" s="109">
        <f t="shared" si="10"/>
        <v>3</v>
      </c>
      <c r="W38" s="139">
        <f t="shared" si="10"/>
        <v>21</v>
      </c>
    </row>
    <row r="39" spans="14:23" ht="13.9" customHeight="1" thickBot="1">
      <c r="N39" t="s">
        <v>1398</v>
      </c>
    </row>
    <row r="40" spans="14:23" ht="13.9" customHeight="1">
      <c r="N40" s="110" t="s">
        <v>1379</v>
      </c>
      <c r="O40" s="533" t="s">
        <v>1380</v>
      </c>
      <c r="P40" s="533"/>
      <c r="Q40" s="533" t="s">
        <v>1381</v>
      </c>
      <c r="R40" s="533"/>
      <c r="S40" s="533"/>
      <c r="T40" s="533"/>
      <c r="U40" s="533"/>
      <c r="V40" s="534"/>
    </row>
    <row r="41" spans="14:23" ht="13.9" customHeight="1" thickBot="1">
      <c r="N41" s="118" t="s">
        <v>1382</v>
      </c>
      <c r="O41" s="119" t="s">
        <v>1383</v>
      </c>
      <c r="P41" s="119" t="s">
        <v>1384</v>
      </c>
      <c r="Q41" s="119" t="s">
        <v>1385</v>
      </c>
      <c r="R41" s="119" t="s">
        <v>1386</v>
      </c>
      <c r="S41" s="119" t="s">
        <v>1387</v>
      </c>
      <c r="T41" s="119" t="s">
        <v>1388</v>
      </c>
      <c r="U41" s="119" t="s">
        <v>1389</v>
      </c>
      <c r="V41" s="120" t="s">
        <v>1390</v>
      </c>
      <c r="W41" t="s">
        <v>1391</v>
      </c>
    </row>
    <row r="42" spans="14:23" ht="13.9" customHeight="1" thickTop="1">
      <c r="N42" s="115" t="s">
        <v>389</v>
      </c>
      <c r="O42" s="116">
        <v>70</v>
      </c>
      <c r="P42" s="116">
        <v>100</v>
      </c>
      <c r="Q42" s="134">
        <f>COUNTIFS(TeamA!$Z$10:$Z$31,"&gt;"&amp;Summary!$O42, TeamA!$Z$10:$Z$31,"&lt;="&amp;Summary!$P42,TeamA!$AR$10:$AR$31,"="&amp;"○")</f>
        <v>7</v>
      </c>
      <c r="R42" s="134">
        <f>COUNTIFS(TeamB!$Z$10:$Z$31,"&gt;"&amp;Summary!$O42, TeamB!$Z$10:$Z$31,"&lt;="&amp;Summary!$P42,TeamB!$AR$10:$AR$31,"="&amp;"○")</f>
        <v>1</v>
      </c>
      <c r="S42" s="134">
        <f>COUNTIFS(TeamC!$Z$10:$Z$31,"&gt;"&amp;Summary!$O42, TeamC!$Z$10:$Z$31,"&lt;="&amp;Summary!$P42,TeamC!$AR$10:$AR$31,"="&amp;"○")</f>
        <v>3</v>
      </c>
      <c r="T42" s="134">
        <f>COUNTIFS(TeamD!$Z$10:$Z$31,"&gt;"&amp;Summary!$O42, TeamD!$Z$10:$Z$31,"&lt;="&amp;Summary!$P42,TeamD!$AR$10:$AR$31,"="&amp;"○")</f>
        <v>1</v>
      </c>
      <c r="U42" s="134">
        <f>COUNTIFS(TeamE!$Z$10:$Z$31,"&gt;"&amp;Summary!$O42, TeamE!$Z$10:$Z$31,"&lt;="&amp;Summary!$P42,TeamE!$AR$10:$AR$31,"="&amp;"○")</f>
        <v>0</v>
      </c>
      <c r="V42" s="135">
        <f>COUNTIFS(TeamF!$Z$10:$Z$31,"&gt;"&amp;Summary!$O42, TeamF!$Z$10:$Z$31,"&lt;="&amp;Summary!$P42,TeamF!$AR$10:$AR$31,"="&amp;"○")</f>
        <v>0</v>
      </c>
      <c r="W42" s="109">
        <f>SUM(Q42:V42)</f>
        <v>12</v>
      </c>
    </row>
    <row r="43" spans="14:23" ht="13.9" customHeight="1">
      <c r="N43" s="111" t="s">
        <v>168</v>
      </c>
      <c r="O43" s="108">
        <v>50</v>
      </c>
      <c r="P43" s="108">
        <v>70</v>
      </c>
      <c r="Q43" s="134">
        <f>COUNTIFS(TeamA!$Z$10:$Z$31,"&gt;"&amp;Summary!$O43, TeamA!$Z$10:$Z$31,"&lt;="&amp;Summary!$P43,TeamA!$AR$10:$AR$31,"="&amp;"○")</f>
        <v>1</v>
      </c>
      <c r="R43" s="134">
        <f>COUNTIFS(TeamB!$Z$10:$Z$31,"&gt;"&amp;Summary!$O43, TeamB!$Z$10:$Z$31,"&lt;="&amp;Summary!$P43,TeamB!$AR$10:$AR$31,"="&amp;"○")</f>
        <v>3</v>
      </c>
      <c r="S43" s="134">
        <f>COUNTIFS(TeamC!$Z$10:$Z$31,"&gt;"&amp;Summary!$O43, TeamC!$Z$10:$Z$31,"&lt;="&amp;Summary!$P43,TeamC!$AR$10:$AR$31,"="&amp;"○")</f>
        <v>2</v>
      </c>
      <c r="T43" s="134">
        <f>COUNTIFS(TeamD!$Z$10:$Z$31,"&gt;"&amp;Summary!$O43, TeamD!$Z$10:$Z$31,"&lt;="&amp;Summary!$P43,TeamD!$AR$10:$AR$31,"="&amp;"○")</f>
        <v>0</v>
      </c>
      <c r="U43" s="134">
        <f>COUNTIFS(TeamE!$Z$10:$Z$31,"&gt;"&amp;Summary!$O43, TeamE!$Z$10:$Z$31,"&lt;="&amp;Summary!$P43,TeamE!$AR$10:$AR$31,"="&amp;"○")</f>
        <v>1</v>
      </c>
      <c r="V43" s="135">
        <f>COUNTIFS(TeamF!$Z$10:$Z$31,"&gt;"&amp;Summary!$O43, TeamF!$Z$10:$Z$31,"&lt;="&amp;Summary!$P43,TeamF!$AR$10:$AR$31,"="&amp;"○")</f>
        <v>0</v>
      </c>
      <c r="W43" s="109">
        <f>SUM(Q43:V43)</f>
        <v>7</v>
      </c>
    </row>
    <row r="44" spans="14:23" ht="13.9" customHeight="1">
      <c r="N44" s="111" t="s">
        <v>174</v>
      </c>
      <c r="O44" s="108">
        <v>30</v>
      </c>
      <c r="P44" s="108">
        <v>50</v>
      </c>
      <c r="Q44" s="134">
        <f>COUNTIFS(TeamA!$Z$10:$Z$31,"&gt;"&amp;Summary!$O44, TeamA!$Z$10:$Z$31,"&lt;="&amp;Summary!$P44,TeamA!$AR$10:$AR$31,"="&amp;"○")</f>
        <v>0</v>
      </c>
      <c r="R44" s="134">
        <f>COUNTIFS(TeamB!$Z$10:$Z$31,"&gt;"&amp;Summary!$O44, TeamB!$Z$10:$Z$31,"&lt;="&amp;Summary!$P44,TeamB!$AR$10:$AR$31,"="&amp;"○")</f>
        <v>0</v>
      </c>
      <c r="S44" s="134">
        <f>COUNTIFS(TeamC!$Z$10:$Z$31,"&gt;"&amp;Summary!$O44, TeamC!$Z$10:$Z$31,"&lt;="&amp;Summary!$P44,TeamC!$AR$10:$AR$31,"="&amp;"○")</f>
        <v>0</v>
      </c>
      <c r="T44" s="134">
        <f>COUNTIFS(TeamD!$Z$10:$Z$31,"&gt;"&amp;Summary!$O44, TeamD!$Z$10:$Z$31,"&lt;="&amp;Summary!$P44,TeamD!$AR$10:$AR$31,"="&amp;"○")</f>
        <v>0</v>
      </c>
      <c r="U44" s="134">
        <f>COUNTIFS(TeamE!$Z$10:$Z$31,"&gt;"&amp;Summary!$O44, TeamE!$Z$10:$Z$31,"&lt;="&amp;Summary!$P44,TeamE!$AR$10:$AR$31,"="&amp;"○")</f>
        <v>0</v>
      </c>
      <c r="V44" s="135">
        <f>COUNTIFS(TeamF!$Z$10:$Z$31,"&gt;"&amp;Summary!$O44, TeamF!$Z$10:$Z$31,"&lt;="&amp;Summary!$P44,TeamF!$AR$10:$AR$31,"="&amp;"○")</f>
        <v>0</v>
      </c>
      <c r="W44" s="109">
        <f>SUM(Q44:V44)</f>
        <v>0</v>
      </c>
    </row>
    <row r="45" spans="14:23" ht="13.9" customHeight="1" thickBot="1">
      <c r="N45" s="112" t="s">
        <v>178</v>
      </c>
      <c r="O45" s="113">
        <v>0</v>
      </c>
      <c r="P45" s="113">
        <v>30</v>
      </c>
      <c r="Q45" s="254">
        <f>COUNTIFS(TeamA!$Z$10:$Z$31,"&gt;"&amp;Summary!$O45, TeamA!$Z$10:$Z$31,"&lt;="&amp;Summary!$P45,TeamA!$AR$10:$AR$31,"="&amp;"○")</f>
        <v>0</v>
      </c>
      <c r="R45" s="254">
        <f>COUNTIFS(TeamB!$Z$10:$Z$31,"&gt;"&amp;Summary!$O45, TeamB!$Z$10:$Z$31,"&lt;="&amp;Summary!$P45,TeamB!$AR$10:$AR$31,"="&amp;"○")</f>
        <v>0</v>
      </c>
      <c r="S45" s="254">
        <f>COUNTIFS(TeamC!$Z$10:$Z$31,"&gt;"&amp;Summary!$O45, TeamC!$Z$10:$Z$31,"&lt;="&amp;Summary!$P45,TeamC!$AR$10:$AR$31,"="&amp;"○")</f>
        <v>0</v>
      </c>
      <c r="T45" s="254">
        <f>COUNTIFS(TeamD!$Z$10:$Z$31,"&gt;"&amp;Summary!$O45, TeamD!$Z$10:$Z$31,"&lt;="&amp;Summary!$P45,TeamD!$AR$10:$AR$31,"="&amp;"○")</f>
        <v>0</v>
      </c>
      <c r="U45" s="254">
        <f>COUNTIFS(TeamE!$Z$10:$Z$31,"&gt;"&amp;Summary!$O45, TeamE!$Z$10:$Z$31,"&lt;="&amp;Summary!$P45,TeamE!$AR$10:$AR$31,"="&amp;"○")</f>
        <v>0</v>
      </c>
      <c r="V45" s="255">
        <f>COUNTIFS(TeamF!$Z$10:$Z$31,"&gt;"&amp;Summary!$O45, TeamF!$Z$10:$Z$31,"&lt;="&amp;Summary!$P45,TeamF!$AR$10:$AR$31,"="&amp;"○")</f>
        <v>0</v>
      </c>
      <c r="W45" s="109">
        <f>SUM(Q45:V45)</f>
        <v>0</v>
      </c>
    </row>
    <row r="46" spans="14:23" ht="13.9" customHeight="1">
      <c r="P46" s="107" t="s">
        <v>1391</v>
      </c>
      <c r="Q46" s="139">
        <f t="shared" ref="Q46:W46" si="11">SUM(Q42:Q45)</f>
        <v>8</v>
      </c>
      <c r="R46" s="109">
        <f t="shared" si="11"/>
        <v>4</v>
      </c>
      <c r="S46" s="109">
        <f t="shared" si="11"/>
        <v>5</v>
      </c>
      <c r="T46" s="109">
        <f t="shared" si="11"/>
        <v>1</v>
      </c>
      <c r="U46" s="109">
        <f t="shared" si="11"/>
        <v>1</v>
      </c>
      <c r="V46" s="109">
        <f t="shared" si="11"/>
        <v>0</v>
      </c>
      <c r="W46" s="139">
        <f t="shared" si="11"/>
        <v>19</v>
      </c>
    </row>
    <row r="47" spans="14:23" ht="13.9" customHeight="1" thickBot="1">
      <c r="N47" s="24" t="s">
        <v>1399</v>
      </c>
    </row>
    <row r="48" spans="14:23" ht="13.9" customHeight="1">
      <c r="N48" s="110" t="s">
        <v>1379</v>
      </c>
      <c r="O48" s="533" t="s">
        <v>1380</v>
      </c>
      <c r="P48" s="533"/>
      <c r="Q48" s="533" t="s">
        <v>1381</v>
      </c>
      <c r="R48" s="533"/>
      <c r="S48" s="533"/>
      <c r="T48" s="533"/>
      <c r="U48" s="533"/>
      <c r="V48" s="534"/>
    </row>
    <row r="49" spans="13:23" ht="13.9" customHeight="1" thickBot="1">
      <c r="N49" s="118" t="s">
        <v>1382</v>
      </c>
      <c r="O49" s="119" t="s">
        <v>1383</v>
      </c>
      <c r="P49" s="119" t="s">
        <v>1384</v>
      </c>
      <c r="Q49" s="119" t="s">
        <v>1385</v>
      </c>
      <c r="R49" s="119" t="s">
        <v>1386</v>
      </c>
      <c r="S49" s="119" t="s">
        <v>1387</v>
      </c>
      <c r="T49" s="119" t="s">
        <v>1388</v>
      </c>
      <c r="U49" s="119" t="s">
        <v>1389</v>
      </c>
      <c r="V49" s="120" t="s">
        <v>1390</v>
      </c>
      <c r="W49" t="s">
        <v>1391</v>
      </c>
    </row>
    <row r="50" spans="13:23" ht="13.9" customHeight="1" thickTop="1">
      <c r="M50" s="107"/>
      <c r="N50" s="115" t="s">
        <v>389</v>
      </c>
      <c r="O50" s="116">
        <v>70</v>
      </c>
      <c r="P50" s="116">
        <v>100</v>
      </c>
      <c r="Q50" s="134">
        <f>COUNTIFS(TeamA!$Z$10:$Z$31,"&gt;"&amp;Summary!$O50, TeamA!$Z$10:$Z$31,"&lt;="&amp;Summary!$P50,TeamA!$AS$10:$AS$31,"="&amp;"○")</f>
        <v>2</v>
      </c>
      <c r="R50" s="134">
        <f>COUNTIFS(TeamB!$Z$10:$Z$31,"&gt;"&amp;Summary!$O50, TeamB!$Z$10:$Z$31,"&lt;="&amp;Summary!$P50,TeamB!$AS$10:$AS$31,"="&amp;"○")</f>
        <v>3</v>
      </c>
      <c r="S50" s="134">
        <f>COUNTIFS(TeamC!$Z$10:$Z$31,"&gt;"&amp;Summary!$O50, TeamC!$Z$10:$Z$31,"&lt;="&amp;Summary!$P50,TeamC!$AS$10:$AS$31,"="&amp;"○")</f>
        <v>1</v>
      </c>
      <c r="T50" s="134">
        <f>COUNTIFS(TeamD!$Z$10:$Z$31,"&gt;"&amp;Summary!$O50, TeamD!$Z$10:$Z$31,"&lt;="&amp;Summary!$P50,TeamD!$AS$10:$AS$31,"="&amp;"○")</f>
        <v>1</v>
      </c>
      <c r="U50" s="134">
        <f>COUNTIFS(TeamE!$Z$10:$Z$31,"&gt;"&amp;Summary!$O50, TeamE!$Z$10:$Z$31,"&lt;="&amp;Summary!$P50,TeamE!$AS$10:$AS$31,"="&amp;"○")</f>
        <v>1</v>
      </c>
      <c r="V50" s="135">
        <f>COUNTIFS(TeamF!$Z$10:$Z$31,"&gt;"&amp;Summary!$O50, TeamF!$Z$10:$Z$31,"&lt;="&amp;Summary!$P50,TeamF!$AS$10:$AS$31,"="&amp;"○")</f>
        <v>0</v>
      </c>
      <c r="W50" s="109">
        <f>SUM(Q50:V50)</f>
        <v>8</v>
      </c>
    </row>
    <row r="51" spans="13:23" ht="13.9" customHeight="1">
      <c r="M51" s="107"/>
      <c r="N51" s="111" t="s">
        <v>168</v>
      </c>
      <c r="O51" s="108">
        <v>50</v>
      </c>
      <c r="P51" s="108">
        <v>70</v>
      </c>
      <c r="Q51" s="134">
        <f>COUNTIFS(TeamA!$Z$10:$Z$31,"&gt;"&amp;Summary!$O51, TeamA!$Z$10:$Z$31,"&lt;="&amp;Summary!$P51,TeamA!$AS$10:$AS$31,"="&amp;"○")</f>
        <v>3</v>
      </c>
      <c r="R51" s="134">
        <f>COUNTIFS(TeamB!$Z$10:$Z$31,"&gt;"&amp;Summary!$O51, TeamB!$Z$10:$Z$31,"&lt;="&amp;Summary!$P51,TeamB!$AS$10:$AS$31,"="&amp;"○")</f>
        <v>1</v>
      </c>
      <c r="S51" s="134">
        <f>COUNTIFS(TeamC!$Z$10:$Z$31,"&gt;"&amp;Summary!$O51, TeamC!$Z$10:$Z$31,"&lt;="&amp;Summary!$P51,TeamC!$AS$10:$AS$31,"="&amp;"○")</f>
        <v>3</v>
      </c>
      <c r="T51" s="134">
        <f>COUNTIFS(TeamD!$Z$10:$Z$31,"&gt;"&amp;Summary!$O51, TeamD!$Z$10:$Z$31,"&lt;="&amp;Summary!$P51,TeamD!$AS$10:$AS$31,"="&amp;"○")</f>
        <v>6</v>
      </c>
      <c r="U51" s="134">
        <f>COUNTIFS(TeamE!$Z$10:$Z$31,"&gt;"&amp;Summary!$O51, TeamE!$Z$10:$Z$31,"&lt;="&amp;Summary!$P51,TeamE!$AS$10:$AS$31,"="&amp;"○")</f>
        <v>3</v>
      </c>
      <c r="V51" s="135">
        <f>COUNTIFS(TeamF!$Z$10:$Z$31,"&gt;"&amp;Summary!$O51, TeamF!$Z$10:$Z$31,"&lt;="&amp;Summary!$P51,TeamF!$AS$10:$AS$31,"="&amp;"○")</f>
        <v>0</v>
      </c>
      <c r="W51" s="109">
        <f>SUM(Q51:V51)</f>
        <v>16</v>
      </c>
    </row>
    <row r="52" spans="13:23" ht="13.9" customHeight="1">
      <c r="N52" s="111" t="s">
        <v>174</v>
      </c>
      <c r="O52" s="108">
        <v>30</v>
      </c>
      <c r="P52" s="108">
        <v>50</v>
      </c>
      <c r="Q52" s="134">
        <f>COUNTIFS(TeamA!$Z$10:$Z$31,"&gt;"&amp;Summary!$O52, TeamA!$Z$10:$Z$31,"&lt;="&amp;Summary!$P52,TeamA!$AS$10:$AS$31,"="&amp;"○")</f>
        <v>1</v>
      </c>
      <c r="R52" s="134">
        <f>COUNTIFS(TeamB!$Z$10:$Z$31,"&gt;"&amp;Summary!$O52, TeamB!$Z$10:$Z$31,"&lt;="&amp;Summary!$P52,TeamB!$AS$10:$AS$31,"="&amp;"○")</f>
        <v>2</v>
      </c>
      <c r="S52" s="134">
        <f>COUNTIFS(TeamC!$Z$10:$Z$31,"&gt;"&amp;Summary!$O52, TeamC!$Z$10:$Z$31,"&lt;="&amp;Summary!$P52,TeamC!$AS$10:$AS$31,"="&amp;"○")</f>
        <v>3</v>
      </c>
      <c r="T52" s="134">
        <f>COUNTIFS(TeamD!$Z$10:$Z$31,"&gt;"&amp;Summary!$O52, TeamD!$Z$10:$Z$31,"&lt;="&amp;Summary!$P52,TeamD!$AS$10:$AS$31,"="&amp;"○")</f>
        <v>6</v>
      </c>
      <c r="U52" s="134">
        <f>COUNTIFS(TeamE!$Z$10:$Z$31,"&gt;"&amp;Summary!$O52, TeamE!$Z$10:$Z$31,"&lt;="&amp;Summary!$P52,TeamE!$AS$10:$AS$31,"="&amp;"○")</f>
        <v>6</v>
      </c>
      <c r="V52" s="135">
        <f>COUNTIFS(TeamF!$Z$10:$Z$31,"&gt;"&amp;Summary!$O52, TeamF!$Z$10:$Z$31,"&lt;="&amp;Summary!$P52,TeamF!$AS$10:$AS$31,"="&amp;"○")</f>
        <v>0</v>
      </c>
      <c r="W52" s="109">
        <f>SUM(Q52:V52)</f>
        <v>18</v>
      </c>
    </row>
    <row r="53" spans="13:23" ht="13.9" customHeight="1" thickBot="1">
      <c r="N53" s="112" t="s">
        <v>178</v>
      </c>
      <c r="O53" s="113">
        <v>0</v>
      </c>
      <c r="P53" s="113">
        <v>30</v>
      </c>
      <c r="Q53" s="254">
        <f>COUNTIFS(TeamA!$Z$10:$Z$31,"&gt;"&amp;Summary!$O53, TeamA!$Z$10:$Z$31,"&lt;="&amp;Summary!$P53,TeamA!$AS$10:$AS$31,"="&amp;"○")</f>
        <v>0</v>
      </c>
      <c r="R53" s="254">
        <f>COUNTIFS(TeamB!$Z$10:$Z$31,"&gt;"&amp;Summary!$O53, TeamB!$Z$10:$Z$31,"&lt;="&amp;Summary!$P53,TeamB!$AS$10:$AS$31,"="&amp;"○")</f>
        <v>0</v>
      </c>
      <c r="S53" s="254">
        <f>COUNTIFS(TeamC!$Z$10:$Z$31,"&gt;"&amp;Summary!$O53, TeamC!$Z$10:$Z$31,"&lt;="&amp;Summary!$P53,TeamC!$AS$10:$AS$31,"="&amp;"○")</f>
        <v>2</v>
      </c>
      <c r="T53" s="254">
        <f>COUNTIFS(TeamD!$Z$10:$Z$31,"&gt;"&amp;Summary!$O53, TeamD!$Z$10:$Z$31,"&lt;="&amp;Summary!$P53,TeamD!$AS$10:$AS$31,"="&amp;"○")</f>
        <v>1</v>
      </c>
      <c r="U53" s="254">
        <f>COUNTIFS(TeamE!$Z$10:$Z$31,"&gt;"&amp;Summary!$O53, TeamE!$Z$10:$Z$31,"&lt;="&amp;Summary!$P53,TeamE!$AS$10:$AS$31,"="&amp;"○")</f>
        <v>0</v>
      </c>
      <c r="V53" s="255">
        <f>COUNTIFS(TeamF!$Z$10:$Z$31,"&gt;"&amp;Summary!$O53, TeamF!$Z$10:$Z$31,"&lt;="&amp;Summary!$P53,TeamF!$AS$10:$AS$31,"="&amp;"○")</f>
        <v>0</v>
      </c>
      <c r="W53" s="109">
        <f>SUM(Q53:V53)</f>
        <v>3</v>
      </c>
    </row>
    <row r="54" spans="13:23" ht="13.9" customHeight="1">
      <c r="P54" s="107" t="s">
        <v>1391</v>
      </c>
      <c r="Q54" s="139">
        <f t="shared" ref="Q54:W54" si="12">SUM(Q50:Q53)</f>
        <v>6</v>
      </c>
      <c r="R54" s="109">
        <f t="shared" si="12"/>
        <v>6</v>
      </c>
      <c r="S54" s="109">
        <f t="shared" si="12"/>
        <v>9</v>
      </c>
      <c r="T54" s="109">
        <f t="shared" si="12"/>
        <v>14</v>
      </c>
      <c r="U54" s="109">
        <f t="shared" si="12"/>
        <v>10</v>
      </c>
      <c r="V54" s="109">
        <f t="shared" si="12"/>
        <v>0</v>
      </c>
      <c r="W54" s="139">
        <f t="shared" si="12"/>
        <v>45</v>
      </c>
    </row>
    <row r="57" spans="13:23" ht="11.45" thickBot="1">
      <c r="N57" t="s">
        <v>1400</v>
      </c>
    </row>
    <row r="58" spans="13:23">
      <c r="M58" t="s">
        <v>1401</v>
      </c>
      <c r="N58" s="110" t="s">
        <v>1379</v>
      </c>
      <c r="O58" s="533" t="s">
        <v>1380</v>
      </c>
      <c r="P58" s="533"/>
      <c r="Q58" s="533" t="s">
        <v>1381</v>
      </c>
      <c r="R58" s="533"/>
      <c r="S58" s="533"/>
      <c r="T58" s="533"/>
      <c r="U58" s="533"/>
      <c r="V58" s="534"/>
    </row>
    <row r="59" spans="13:23" ht="11.45" thickBot="1">
      <c r="N59" s="118" t="s">
        <v>1382</v>
      </c>
      <c r="O59" s="119" t="s">
        <v>1383</v>
      </c>
      <c r="P59" s="119" t="s">
        <v>1384</v>
      </c>
      <c r="Q59" s="119" t="s">
        <v>1385</v>
      </c>
      <c r="R59" s="119" t="s">
        <v>1386</v>
      </c>
      <c r="S59" s="119" t="s">
        <v>1387</v>
      </c>
      <c r="T59" s="119" t="s">
        <v>1388</v>
      </c>
      <c r="U59" s="119" t="s">
        <v>1389</v>
      </c>
      <c r="V59" s="120" t="s">
        <v>1390</v>
      </c>
      <c r="W59" t="s">
        <v>1391</v>
      </c>
    </row>
    <row r="60" spans="13:23" ht="11.45" thickTop="1">
      <c r="N60" s="115" t="s">
        <v>389</v>
      </c>
      <c r="O60" s="116">
        <v>70</v>
      </c>
      <c r="P60" s="116">
        <v>100</v>
      </c>
      <c r="Q60" s="134">
        <v>2</v>
      </c>
      <c r="R60" s="134">
        <v>3</v>
      </c>
      <c r="S60" s="134">
        <v>1</v>
      </c>
      <c r="T60" s="134">
        <v>1</v>
      </c>
      <c r="U60" s="134">
        <v>1</v>
      </c>
      <c r="V60" s="135">
        <v>0</v>
      </c>
      <c r="W60" s="109">
        <f>SUM(Q60:V60)</f>
        <v>8</v>
      </c>
    </row>
    <row r="61" spans="13:23">
      <c r="N61" s="111" t="s">
        <v>168</v>
      </c>
      <c r="O61" s="108">
        <v>50</v>
      </c>
      <c r="P61" s="108">
        <v>70</v>
      </c>
      <c r="Q61" s="134">
        <f t="shared" ref="Q61:V63" si="13">Q51-Q71</f>
        <v>3</v>
      </c>
      <c r="R61" s="134">
        <f t="shared" si="13"/>
        <v>1</v>
      </c>
      <c r="S61" s="134">
        <f t="shared" si="13"/>
        <v>3</v>
      </c>
      <c r="T61" s="134">
        <f t="shared" si="13"/>
        <v>6</v>
      </c>
      <c r="U61" s="134">
        <f t="shared" si="13"/>
        <v>3</v>
      </c>
      <c r="V61" s="135">
        <f t="shared" si="13"/>
        <v>0</v>
      </c>
      <c r="W61" s="109">
        <f>SUM(Q61:V61)</f>
        <v>16</v>
      </c>
    </row>
    <row r="62" spans="13:23">
      <c r="N62" s="111" t="s">
        <v>174</v>
      </c>
      <c r="O62" s="108">
        <v>30</v>
      </c>
      <c r="P62" s="108">
        <v>50</v>
      </c>
      <c r="Q62" s="134">
        <f t="shared" si="13"/>
        <v>0</v>
      </c>
      <c r="R62" s="134">
        <f t="shared" si="13"/>
        <v>1</v>
      </c>
      <c r="S62" s="134">
        <f t="shared" si="13"/>
        <v>2</v>
      </c>
      <c r="T62" s="134">
        <f t="shared" si="13"/>
        <v>4</v>
      </c>
      <c r="U62" s="134">
        <f t="shared" si="13"/>
        <v>5</v>
      </c>
      <c r="V62" s="135">
        <f t="shared" si="13"/>
        <v>0</v>
      </c>
      <c r="W62" s="109">
        <f>SUM(Q62:V62)</f>
        <v>12</v>
      </c>
    </row>
    <row r="63" spans="13:23" ht="11.45" thickBot="1">
      <c r="N63" s="112" t="s">
        <v>178</v>
      </c>
      <c r="O63" s="113">
        <v>0</v>
      </c>
      <c r="P63" s="113">
        <v>30</v>
      </c>
      <c r="Q63" s="254">
        <f t="shared" si="13"/>
        <v>0</v>
      </c>
      <c r="R63" s="254">
        <f t="shared" si="13"/>
        <v>0</v>
      </c>
      <c r="S63" s="254">
        <f t="shared" si="13"/>
        <v>0</v>
      </c>
      <c r="T63" s="254">
        <f t="shared" si="13"/>
        <v>0</v>
      </c>
      <c r="U63" s="254">
        <f t="shared" si="13"/>
        <v>0</v>
      </c>
      <c r="V63" s="255">
        <f t="shared" si="13"/>
        <v>0</v>
      </c>
      <c r="W63" s="109">
        <f>SUM(Q63:V63)</f>
        <v>0</v>
      </c>
    </row>
    <row r="64" spans="13:23">
      <c r="P64" s="107" t="s">
        <v>1391</v>
      </c>
      <c r="Q64" s="139">
        <f t="shared" ref="Q64:W64" si="14">SUM(Q60:Q63)</f>
        <v>5</v>
      </c>
      <c r="R64" s="109">
        <f t="shared" si="14"/>
        <v>5</v>
      </c>
      <c r="S64" s="109">
        <f t="shared" si="14"/>
        <v>6</v>
      </c>
      <c r="T64" s="109">
        <f t="shared" si="14"/>
        <v>11</v>
      </c>
      <c r="U64" s="109">
        <f t="shared" si="14"/>
        <v>9</v>
      </c>
      <c r="V64" s="109">
        <f t="shared" si="14"/>
        <v>0</v>
      </c>
      <c r="W64" s="139">
        <f t="shared" si="14"/>
        <v>36</v>
      </c>
    </row>
    <row r="67" spans="2:25" ht="11.45" thickBot="1">
      <c r="N67" t="s">
        <v>1399</v>
      </c>
    </row>
    <row r="68" spans="2:25">
      <c r="M68" t="s">
        <v>1402</v>
      </c>
      <c r="N68" s="110" t="s">
        <v>1379</v>
      </c>
      <c r="O68" s="533" t="s">
        <v>1380</v>
      </c>
      <c r="P68" s="533"/>
      <c r="Q68" s="533" t="s">
        <v>1381</v>
      </c>
      <c r="R68" s="533"/>
      <c r="S68" s="533"/>
      <c r="T68" s="533"/>
      <c r="U68" s="533"/>
      <c r="V68" s="534"/>
    </row>
    <row r="69" spans="2:25" ht="11.45" thickBot="1">
      <c r="N69" s="118" t="s">
        <v>1382</v>
      </c>
      <c r="O69" s="119" t="s">
        <v>1383</v>
      </c>
      <c r="P69" s="119" t="s">
        <v>1384</v>
      </c>
      <c r="Q69" s="119" t="s">
        <v>1385</v>
      </c>
      <c r="R69" s="119" t="s">
        <v>1386</v>
      </c>
      <c r="S69" s="119" t="s">
        <v>1387</v>
      </c>
      <c r="T69" s="119" t="s">
        <v>1388</v>
      </c>
      <c r="U69" s="119" t="s">
        <v>1389</v>
      </c>
      <c r="V69" s="120" t="s">
        <v>1390</v>
      </c>
      <c r="W69" t="s">
        <v>1391</v>
      </c>
    </row>
    <row r="70" spans="2:25" ht="11.45" thickTop="1">
      <c r="N70" s="115" t="s">
        <v>389</v>
      </c>
      <c r="O70" s="116">
        <v>70</v>
      </c>
      <c r="P70" s="116">
        <v>100</v>
      </c>
      <c r="Q70" s="134">
        <v>0</v>
      </c>
      <c r="R70" s="134">
        <v>0</v>
      </c>
      <c r="S70" s="134">
        <v>0</v>
      </c>
      <c r="T70" s="134">
        <v>0</v>
      </c>
      <c r="U70" s="134">
        <v>0</v>
      </c>
      <c r="V70" s="135">
        <v>0</v>
      </c>
      <c r="W70" s="109">
        <f>SUM(Q70:V70)</f>
        <v>0</v>
      </c>
      <c r="Y70" t="s">
        <v>1403</v>
      </c>
    </row>
    <row r="71" spans="2:25">
      <c r="N71" s="111" t="s">
        <v>168</v>
      </c>
      <c r="O71" s="108">
        <v>50</v>
      </c>
      <c r="P71" s="108">
        <v>70</v>
      </c>
      <c r="Q71" s="134">
        <v>0</v>
      </c>
      <c r="R71" s="134">
        <v>0</v>
      </c>
      <c r="S71" s="134">
        <v>0</v>
      </c>
      <c r="T71" s="134">
        <v>0</v>
      </c>
      <c r="U71" s="134">
        <v>0</v>
      </c>
      <c r="V71" s="135">
        <v>0</v>
      </c>
      <c r="W71" s="109">
        <f>SUM(Q71:V71)</f>
        <v>0</v>
      </c>
      <c r="Y71" t="s">
        <v>1404</v>
      </c>
    </row>
    <row r="72" spans="2:25">
      <c r="N72" s="111" t="s">
        <v>174</v>
      </c>
      <c r="O72" s="108">
        <v>30</v>
      </c>
      <c r="P72" s="108">
        <v>50</v>
      </c>
      <c r="Q72" s="134">
        <v>1</v>
      </c>
      <c r="R72" s="134">
        <v>1</v>
      </c>
      <c r="S72" s="134">
        <v>1</v>
      </c>
      <c r="T72" s="134">
        <v>2</v>
      </c>
      <c r="U72" s="134">
        <v>1</v>
      </c>
      <c r="V72" s="135">
        <v>0</v>
      </c>
      <c r="W72" s="109">
        <f>SUM(Q72:V72)</f>
        <v>6</v>
      </c>
    </row>
    <row r="73" spans="2:25" ht="11.45" thickBot="1">
      <c r="N73" s="112" t="s">
        <v>178</v>
      </c>
      <c r="O73" s="113">
        <v>0</v>
      </c>
      <c r="P73" s="113">
        <v>30</v>
      </c>
      <c r="Q73" s="254">
        <v>0</v>
      </c>
      <c r="R73" s="254">
        <v>0</v>
      </c>
      <c r="S73" s="254">
        <v>2</v>
      </c>
      <c r="T73" s="254">
        <v>1</v>
      </c>
      <c r="U73" s="254">
        <v>0</v>
      </c>
      <c r="V73" s="255">
        <v>0</v>
      </c>
      <c r="W73" s="109">
        <f>SUM(Q73:V73)</f>
        <v>3</v>
      </c>
    </row>
    <row r="74" spans="2:25">
      <c r="P74" s="107" t="s">
        <v>1391</v>
      </c>
      <c r="Q74" s="139">
        <f t="shared" ref="Q74:W74" si="15">SUM(Q70:Q73)</f>
        <v>1</v>
      </c>
      <c r="R74" s="109">
        <f t="shared" si="15"/>
        <v>1</v>
      </c>
      <c r="S74" s="109">
        <f t="shared" si="15"/>
        <v>3</v>
      </c>
      <c r="T74" s="109">
        <f t="shared" si="15"/>
        <v>3</v>
      </c>
      <c r="U74" s="109">
        <f t="shared" si="15"/>
        <v>1</v>
      </c>
      <c r="V74" s="109">
        <f t="shared" si="15"/>
        <v>0</v>
      </c>
      <c r="W74" s="139">
        <f t="shared" si="15"/>
        <v>9</v>
      </c>
    </row>
    <row r="80" spans="2:25">
      <c r="B80" t="s">
        <v>1405</v>
      </c>
      <c r="I80" s="3" t="s">
        <v>223</v>
      </c>
      <c r="J80" s="3"/>
      <c r="K80" s="3" t="s">
        <v>287</v>
      </c>
      <c r="L80" s="3"/>
      <c r="M80" s="3" t="s">
        <v>300</v>
      </c>
      <c r="N80" s="3"/>
      <c r="O80" s="3" t="s">
        <v>384</v>
      </c>
      <c r="P80" s="3"/>
    </row>
    <row r="81" spans="1:16">
      <c r="B81" s="3" t="s">
        <v>1381</v>
      </c>
      <c r="C81" s="3" t="s">
        <v>1406</v>
      </c>
      <c r="D81" s="3" t="s">
        <v>1407</v>
      </c>
      <c r="E81" s="3" t="s">
        <v>1408</v>
      </c>
      <c r="F81" s="3" t="s">
        <v>1409</v>
      </c>
      <c r="I81" s="3" t="s">
        <v>1408</v>
      </c>
      <c r="J81" s="3" t="s">
        <v>1409</v>
      </c>
      <c r="K81" s="3" t="s">
        <v>1408</v>
      </c>
      <c r="L81" s="3" t="s">
        <v>1409</v>
      </c>
      <c r="M81" s="3" t="s">
        <v>1408</v>
      </c>
      <c r="N81" s="3" t="s">
        <v>1409</v>
      </c>
      <c r="O81" s="3" t="s">
        <v>1408</v>
      </c>
      <c r="P81" s="3" t="s">
        <v>1409</v>
      </c>
    </row>
    <row r="82" spans="1:16">
      <c r="B82" s="3" t="s">
        <v>1385</v>
      </c>
      <c r="C82" s="3" t="str">
        <f>TeamA!B10</f>
        <v>Carlos, Adelberth</v>
      </c>
      <c r="D82" s="3" t="str">
        <f>TeamA!C10</f>
        <v>Jr</v>
      </c>
      <c r="E82" s="207">
        <f>TeamA!AH10</f>
        <v>0.87130309523926552</v>
      </c>
      <c r="F82" s="509">
        <f>TeamA!AI10</f>
        <v>1.9211016972556842</v>
      </c>
      <c r="I82" s="442">
        <f>IFERROR(VLOOKUP($I$80,$D82:$F82,2,FALSE),-1)</f>
        <v>0.87130309523926552</v>
      </c>
      <c r="J82" s="443">
        <f>IFERROR(VLOOKUP($I$80,$D82:$F82,3,FALSE),-1)</f>
        <v>1.9211016972556842</v>
      </c>
      <c r="K82" s="442">
        <f>IFERROR(VLOOKUP($K$80,$D82:$F82,2,FALSE),-1)</f>
        <v>-1</v>
      </c>
      <c r="L82" s="443">
        <f>IFERROR(VLOOKUP($K$80,$D82:$F82,3,FALSE),-1)</f>
        <v>-1</v>
      </c>
      <c r="M82" s="442">
        <f>IFERROR(VLOOKUP($M$80,$D82:$F82,2,FALSE),-1)</f>
        <v>-1</v>
      </c>
      <c r="N82" s="443">
        <f>IFERROR(VLOOKUP($M$80,$D82:$F82,3,FALSE),-1)</f>
        <v>-1</v>
      </c>
      <c r="O82" s="442">
        <f>IFERROR(VLOOKUP($O$80,$D82:$F82,2,FALSE),-1)</f>
        <v>-1</v>
      </c>
      <c r="P82" s="443">
        <f>IFERROR(VLOOKUP($O$80,$D82:$F82,3,FALSE),-1)</f>
        <v>-1</v>
      </c>
    </row>
    <row r="83" spans="1:16">
      <c r="B83" s="3" t="s">
        <v>1385</v>
      </c>
      <c r="C83" s="3" t="str">
        <f>TeamA!B11</f>
        <v>Almocera, Alexander Hussein</v>
      </c>
      <c r="D83" s="3" t="str">
        <f>TeamA!C11</f>
        <v>Jr</v>
      </c>
      <c r="E83" s="207">
        <f>TeamA!AH11</f>
        <v>0.82273409656089214</v>
      </c>
      <c r="F83" s="509">
        <f>TeamA!AI11</f>
        <v>12.786992985012787</v>
      </c>
      <c r="I83" s="442">
        <f t="shared" ref="I83:I146" si="16">IFERROR(VLOOKUP($I$80,$D83:$F83,2,FALSE),-1)</f>
        <v>0.82273409656089214</v>
      </c>
      <c r="J83" s="443">
        <f t="shared" ref="J83:J146" si="17">IFERROR(VLOOKUP($I$80,$D83:$F83,3,FALSE),-1)</f>
        <v>12.786992985012787</v>
      </c>
      <c r="K83" s="442">
        <f t="shared" ref="K83:K146" si="18">IFERROR(VLOOKUP($K$80,$D83:$F83,2,FALSE),-1)</f>
        <v>-1</v>
      </c>
      <c r="L83" s="443">
        <f t="shared" ref="L83:L146" si="19">IFERROR(VLOOKUP($K$80,$D83:$F83,3,FALSE),-1)</f>
        <v>-1</v>
      </c>
      <c r="M83" s="442">
        <f t="shared" ref="M83:M146" si="20">IFERROR(VLOOKUP($M$80,$D83:$F83,2,FALSE),-1)</f>
        <v>-1</v>
      </c>
      <c r="N83" s="443">
        <f t="shared" ref="N83:N146" si="21">IFERROR(VLOOKUP($M$80,$D83:$F83,3,FALSE),-1)</f>
        <v>-1</v>
      </c>
      <c r="O83" s="442">
        <f t="shared" ref="O83:O146" si="22">IFERROR(VLOOKUP($O$80,$D83:$F83,2,FALSE),-1)</f>
        <v>-1</v>
      </c>
      <c r="P83" s="443">
        <f t="shared" ref="P83:P146" si="23">IFERROR(VLOOKUP($O$80,$D83:$F83,3,FALSE),-1)</f>
        <v>-1</v>
      </c>
    </row>
    <row r="84" spans="1:16">
      <c r="B84" s="3" t="s">
        <v>1385</v>
      </c>
      <c r="C84" s="3" t="str">
        <f>TeamA!B12</f>
        <v>Balayan, Efraim</v>
      </c>
      <c r="D84" s="3" t="str">
        <f>TeamA!C12</f>
        <v>Jr</v>
      </c>
      <c r="E84" s="207">
        <f>TeamA!AH12</f>
        <v>0.75480896725216484</v>
      </c>
      <c r="F84" s="509">
        <f>TeamA!AI12</f>
        <v>4.1541236312512106</v>
      </c>
      <c r="I84" s="442">
        <f t="shared" si="16"/>
        <v>0.75480896725216484</v>
      </c>
      <c r="J84" s="443">
        <f t="shared" si="17"/>
        <v>4.1541236312512106</v>
      </c>
      <c r="K84" s="442">
        <f t="shared" si="18"/>
        <v>-1</v>
      </c>
      <c r="L84" s="443">
        <f t="shared" si="19"/>
        <v>-1</v>
      </c>
      <c r="M84" s="442">
        <f t="shared" si="20"/>
        <v>-1</v>
      </c>
      <c r="N84" s="443">
        <f t="shared" si="21"/>
        <v>-1</v>
      </c>
      <c r="O84" s="442">
        <f t="shared" si="22"/>
        <v>-1</v>
      </c>
      <c r="P84" s="443">
        <f t="shared" si="23"/>
        <v>-1</v>
      </c>
    </row>
    <row r="85" spans="1:16">
      <c r="B85" s="3" t="s">
        <v>1385</v>
      </c>
      <c r="C85" s="3" t="str">
        <f>TeamA!B13</f>
        <v>Biag, Hendrix</v>
      </c>
      <c r="D85" s="3" t="str">
        <f>TeamA!C13</f>
        <v>Jr</v>
      </c>
      <c r="E85" s="207">
        <f>TeamA!AH13</f>
        <v>0.76787827991217816</v>
      </c>
      <c r="F85" s="509">
        <f>TeamA!AI13</f>
        <v>5.3528524708505278</v>
      </c>
      <c r="I85" s="442">
        <f t="shared" si="16"/>
        <v>0.76787827991217816</v>
      </c>
      <c r="J85" s="443">
        <f t="shared" si="17"/>
        <v>5.3528524708505278</v>
      </c>
      <c r="K85" s="442">
        <f t="shared" si="18"/>
        <v>-1</v>
      </c>
      <c r="L85" s="443">
        <f t="shared" si="19"/>
        <v>-1</v>
      </c>
      <c r="M85" s="442">
        <f t="shared" si="20"/>
        <v>-1</v>
      </c>
      <c r="N85" s="443">
        <f t="shared" si="21"/>
        <v>-1</v>
      </c>
      <c r="O85" s="442">
        <f t="shared" si="22"/>
        <v>-1</v>
      </c>
      <c r="P85" s="443">
        <f t="shared" si="23"/>
        <v>-1</v>
      </c>
    </row>
    <row r="86" spans="1:16">
      <c r="B86" s="3" t="s">
        <v>1385</v>
      </c>
      <c r="C86" s="3" t="str">
        <f>TeamA!B14</f>
        <v>Olimpos, Janet</v>
      </c>
      <c r="D86" s="3" t="str">
        <f>TeamA!C14</f>
        <v>Jr</v>
      </c>
      <c r="E86" s="207">
        <f>TeamA!AH14</f>
        <v>0.89181330651918878</v>
      </c>
      <c r="F86" s="509">
        <f>TeamA!AI14</f>
        <v>4.8616331598014124</v>
      </c>
      <c r="I86" s="442">
        <f t="shared" si="16"/>
        <v>0.89181330651918878</v>
      </c>
      <c r="J86" s="443">
        <f t="shared" si="17"/>
        <v>4.8616331598014124</v>
      </c>
      <c r="K86" s="442">
        <f t="shared" si="18"/>
        <v>-1</v>
      </c>
      <c r="L86" s="443">
        <f t="shared" si="19"/>
        <v>-1</v>
      </c>
      <c r="M86" s="442">
        <f t="shared" si="20"/>
        <v>-1</v>
      </c>
      <c r="N86" s="443">
        <f t="shared" si="21"/>
        <v>-1</v>
      </c>
      <c r="O86" s="442">
        <f t="shared" si="22"/>
        <v>-1</v>
      </c>
      <c r="P86" s="443">
        <f t="shared" si="23"/>
        <v>-1</v>
      </c>
    </row>
    <row r="87" spans="1:16">
      <c r="B87" s="3" t="s">
        <v>1385</v>
      </c>
      <c r="C87" s="3" t="str">
        <f>TeamA!B15</f>
        <v>Jan-Louie Lopez</v>
      </c>
      <c r="D87" s="3" t="str">
        <f>TeamA!C15</f>
        <v>Mid</v>
      </c>
      <c r="E87" s="207">
        <f>TeamA!AH15</f>
        <v>0.75631747029817653</v>
      </c>
      <c r="F87" s="509">
        <f>TeamA!AI15</f>
        <v>7.5119305279879516</v>
      </c>
      <c r="I87" s="442">
        <f t="shared" si="16"/>
        <v>-1</v>
      </c>
      <c r="J87" s="443">
        <f t="shared" si="17"/>
        <v>-1</v>
      </c>
      <c r="K87" s="442">
        <f t="shared" si="18"/>
        <v>0.75631747029817653</v>
      </c>
      <c r="L87" s="443">
        <f t="shared" si="19"/>
        <v>7.5119305279879516</v>
      </c>
      <c r="M87" s="442">
        <f t="shared" si="20"/>
        <v>-1</v>
      </c>
      <c r="N87" s="443">
        <f t="shared" si="21"/>
        <v>-1</v>
      </c>
      <c r="O87" s="442">
        <f t="shared" si="22"/>
        <v>-1</v>
      </c>
      <c r="P87" s="443">
        <f t="shared" si="23"/>
        <v>-1</v>
      </c>
    </row>
    <row r="88" spans="1:16">
      <c r="A88" s="107" t="s">
        <v>1410</v>
      </c>
      <c r="B88" s="3" t="s">
        <v>1385</v>
      </c>
      <c r="C88" s="3" t="str">
        <f>TeamA!B16</f>
        <v>Jennifer Cua</v>
      </c>
      <c r="D88" s="3" t="str">
        <f>TeamA!C16</f>
        <v>Sr</v>
      </c>
      <c r="E88" s="207">
        <f>TeamA!AH16</f>
        <v>0.54939759036144575</v>
      </c>
      <c r="F88" s="509">
        <f>TeamA!AI16</f>
        <v>0.7142857142857143</v>
      </c>
      <c r="I88" s="442">
        <f t="shared" si="16"/>
        <v>-1</v>
      </c>
      <c r="J88" s="443">
        <f t="shared" si="17"/>
        <v>-1</v>
      </c>
      <c r="K88" s="442">
        <f t="shared" si="18"/>
        <v>-1</v>
      </c>
      <c r="L88" s="443">
        <f t="shared" si="19"/>
        <v>-1</v>
      </c>
      <c r="M88" s="442">
        <f t="shared" si="20"/>
        <v>0.54939759036144575</v>
      </c>
      <c r="N88" s="443">
        <f t="shared" si="21"/>
        <v>0.7142857142857143</v>
      </c>
      <c r="O88" s="442">
        <f t="shared" si="22"/>
        <v>-1</v>
      </c>
      <c r="P88" s="443">
        <f t="shared" si="23"/>
        <v>-1</v>
      </c>
    </row>
    <row r="89" spans="1:16">
      <c r="B89" s="3" t="s">
        <v>1385</v>
      </c>
      <c r="C89" s="3" t="str">
        <f>TeamA!B17</f>
        <v>Jonathan Ando</v>
      </c>
      <c r="D89" s="3" t="str">
        <f>TeamA!C17</f>
        <v>Mid</v>
      </c>
      <c r="E89" s="207">
        <f>TeamA!AH17</f>
        <v>0.78573725909791481</v>
      </c>
      <c r="F89" s="509">
        <f>TeamA!AI17</f>
        <v>6.7609609061015705</v>
      </c>
      <c r="I89" s="442">
        <f t="shared" si="16"/>
        <v>-1</v>
      </c>
      <c r="J89" s="443">
        <f t="shared" si="17"/>
        <v>-1</v>
      </c>
      <c r="K89" s="442">
        <f t="shared" si="18"/>
        <v>0.78573725909791481</v>
      </c>
      <c r="L89" s="443">
        <f t="shared" si="19"/>
        <v>6.7609609061015705</v>
      </c>
      <c r="M89" s="442">
        <f t="shared" si="20"/>
        <v>-1</v>
      </c>
      <c r="N89" s="443">
        <f t="shared" si="21"/>
        <v>-1</v>
      </c>
      <c r="O89" s="442">
        <f t="shared" si="22"/>
        <v>-1</v>
      </c>
      <c r="P89" s="443">
        <f t="shared" si="23"/>
        <v>-1</v>
      </c>
    </row>
    <row r="90" spans="1:16">
      <c r="A90" s="107" t="s">
        <v>1410</v>
      </c>
      <c r="B90" s="3" t="s">
        <v>1385</v>
      </c>
      <c r="C90" s="3" t="str">
        <f>TeamA!B18</f>
        <v>Jose Bonivir Binalon</v>
      </c>
      <c r="D90" s="3" t="str">
        <f>TeamA!C18</f>
        <v>Jr</v>
      </c>
      <c r="E90" s="207">
        <f>TeamA!AH18</f>
        <v>0.69987179487179496</v>
      </c>
      <c r="F90" s="509">
        <f>TeamA!AI18</f>
        <v>1.0162601626016261</v>
      </c>
      <c r="I90" s="442">
        <f t="shared" si="16"/>
        <v>0.69987179487179496</v>
      </c>
      <c r="J90" s="443">
        <f t="shared" si="17"/>
        <v>1.0162601626016261</v>
      </c>
      <c r="K90" s="442">
        <f t="shared" si="18"/>
        <v>-1</v>
      </c>
      <c r="L90" s="443">
        <f t="shared" si="19"/>
        <v>-1</v>
      </c>
      <c r="M90" s="442">
        <f t="shared" si="20"/>
        <v>-1</v>
      </c>
      <c r="N90" s="443">
        <f t="shared" si="21"/>
        <v>-1</v>
      </c>
      <c r="O90" s="442">
        <f t="shared" si="22"/>
        <v>-1</v>
      </c>
      <c r="P90" s="443">
        <f t="shared" si="23"/>
        <v>-1</v>
      </c>
    </row>
    <row r="91" spans="1:16">
      <c r="A91" s="107" t="s">
        <v>1410</v>
      </c>
      <c r="B91" s="3" t="s">
        <v>1385</v>
      </c>
      <c r="C91" s="3" t="str">
        <f>TeamA!B19</f>
        <v>Justine Amansec</v>
      </c>
      <c r="D91" s="3" t="str">
        <f>TeamA!C19</f>
        <v>Jr</v>
      </c>
      <c r="E91" s="207">
        <f>TeamA!AH19</f>
        <v>0.67295081967213111</v>
      </c>
      <c r="F91" s="509">
        <f>TeamA!AI19</f>
        <v>3.773584905660377</v>
      </c>
      <c r="I91" s="442">
        <f t="shared" si="16"/>
        <v>0.67295081967213111</v>
      </c>
      <c r="J91" s="443">
        <f t="shared" si="17"/>
        <v>3.773584905660377</v>
      </c>
      <c r="K91" s="442">
        <f t="shared" si="18"/>
        <v>-1</v>
      </c>
      <c r="L91" s="443">
        <f t="shared" si="19"/>
        <v>-1</v>
      </c>
      <c r="M91" s="442">
        <f t="shared" si="20"/>
        <v>-1</v>
      </c>
      <c r="N91" s="443">
        <f t="shared" si="21"/>
        <v>-1</v>
      </c>
      <c r="O91" s="442">
        <f t="shared" si="22"/>
        <v>-1</v>
      </c>
      <c r="P91" s="443">
        <f t="shared" si="23"/>
        <v>-1</v>
      </c>
    </row>
    <row r="92" spans="1:16">
      <c r="A92" s="107" t="s">
        <v>1410</v>
      </c>
      <c r="B92" s="3" t="s">
        <v>1385</v>
      </c>
      <c r="C92" s="3" t="str">
        <f>TeamA!B20</f>
        <v>Lester John Dela Pena</v>
      </c>
      <c r="D92" s="3" t="str">
        <f>TeamA!C20</f>
        <v>Jr</v>
      </c>
      <c r="E92" s="207">
        <f>TeamA!AH20</f>
        <v>0.67058823529411771</v>
      </c>
      <c r="F92" s="509">
        <f>TeamA!AI20</f>
        <v>5.1387461459403907</v>
      </c>
      <c r="I92" s="442">
        <f t="shared" si="16"/>
        <v>0.67058823529411771</v>
      </c>
      <c r="J92" s="443">
        <f t="shared" si="17"/>
        <v>5.1387461459403907</v>
      </c>
      <c r="K92" s="442">
        <f t="shared" si="18"/>
        <v>-1</v>
      </c>
      <c r="L92" s="443">
        <f t="shared" si="19"/>
        <v>-1</v>
      </c>
      <c r="M92" s="442">
        <f t="shared" si="20"/>
        <v>-1</v>
      </c>
      <c r="N92" s="443">
        <f t="shared" si="21"/>
        <v>-1</v>
      </c>
      <c r="O92" s="442">
        <f t="shared" si="22"/>
        <v>-1</v>
      </c>
      <c r="P92" s="443">
        <f t="shared" si="23"/>
        <v>-1</v>
      </c>
    </row>
    <row r="93" spans="1:16">
      <c r="B93" s="3" t="s">
        <v>1385</v>
      </c>
      <c r="C93" s="3" t="str">
        <f>TeamA!B21</f>
        <v>Marlou Hernandez</v>
      </c>
      <c r="D93" s="3" t="str">
        <f>TeamA!C21</f>
        <v>Jr</v>
      </c>
      <c r="E93" s="207">
        <f>TeamA!AH21</f>
        <v>0.83513429522752514</v>
      </c>
      <c r="F93" s="509">
        <f>TeamA!AI21</f>
        <v>6.4549086648763234</v>
      </c>
      <c r="I93" s="442">
        <f t="shared" si="16"/>
        <v>0.83513429522752514</v>
      </c>
      <c r="J93" s="443">
        <f t="shared" si="17"/>
        <v>6.4549086648763234</v>
      </c>
      <c r="K93" s="442">
        <f t="shared" si="18"/>
        <v>-1</v>
      </c>
      <c r="L93" s="443">
        <f t="shared" si="19"/>
        <v>-1</v>
      </c>
      <c r="M93" s="442">
        <f t="shared" si="20"/>
        <v>-1</v>
      </c>
      <c r="N93" s="443">
        <f t="shared" si="21"/>
        <v>-1</v>
      </c>
      <c r="O93" s="442">
        <f t="shared" si="22"/>
        <v>-1</v>
      </c>
      <c r="P93" s="443">
        <f t="shared" si="23"/>
        <v>-1</v>
      </c>
    </row>
    <row r="94" spans="1:16">
      <c r="B94" s="3" t="s">
        <v>1385</v>
      </c>
      <c r="C94" s="3" t="str">
        <f>TeamA!B22</f>
        <v>Michaela Dimacali</v>
      </c>
      <c r="D94" s="3" t="str">
        <f>TeamA!C22</f>
        <v>Jr</v>
      </c>
      <c r="E94" s="207">
        <f>TeamA!AH22</f>
        <v>0.90722981512922085</v>
      </c>
      <c r="F94" s="509">
        <f>TeamA!AI22</f>
        <v>2.4226368584273503</v>
      </c>
      <c r="I94" s="442">
        <f t="shared" si="16"/>
        <v>0.90722981512922085</v>
      </c>
      <c r="J94" s="443">
        <f t="shared" si="17"/>
        <v>2.4226368584273503</v>
      </c>
      <c r="K94" s="442">
        <f t="shared" si="18"/>
        <v>-1</v>
      </c>
      <c r="L94" s="443">
        <f t="shared" si="19"/>
        <v>-1</v>
      </c>
      <c r="M94" s="442">
        <f t="shared" si="20"/>
        <v>-1</v>
      </c>
      <c r="N94" s="443">
        <f t="shared" si="21"/>
        <v>-1</v>
      </c>
      <c r="O94" s="442">
        <f t="shared" si="22"/>
        <v>-1</v>
      </c>
      <c r="P94" s="443">
        <f t="shared" si="23"/>
        <v>-1</v>
      </c>
    </row>
    <row r="95" spans="1:16">
      <c r="B95" s="3" t="s">
        <v>1385</v>
      </c>
      <c r="C95" s="3" t="str">
        <f>TeamA!B23</f>
        <v>Paul David Dino</v>
      </c>
      <c r="D95" s="3" t="str">
        <f>TeamA!C23</f>
        <v>TL</v>
      </c>
      <c r="E95" s="207">
        <f>TeamA!AH23</f>
        <v>1.2695430195227355</v>
      </c>
      <c r="F95" s="509">
        <f>TeamA!AI23</f>
        <v>3.2063377858332829</v>
      </c>
      <c r="I95" s="442">
        <f t="shared" si="16"/>
        <v>-1</v>
      </c>
      <c r="J95" s="443">
        <f t="shared" si="17"/>
        <v>-1</v>
      </c>
      <c r="K95" s="442">
        <f t="shared" si="18"/>
        <v>-1</v>
      </c>
      <c r="L95" s="443">
        <f t="shared" si="19"/>
        <v>-1</v>
      </c>
      <c r="M95" s="442">
        <f t="shared" si="20"/>
        <v>-1</v>
      </c>
      <c r="N95" s="443">
        <f t="shared" si="21"/>
        <v>-1</v>
      </c>
      <c r="O95" s="442">
        <f t="shared" si="22"/>
        <v>1.2695430195227355</v>
      </c>
      <c r="P95" s="443">
        <f t="shared" si="23"/>
        <v>3.2063377858332829</v>
      </c>
    </row>
    <row r="96" spans="1:16">
      <c r="B96" s="3" t="s">
        <v>1385</v>
      </c>
      <c r="C96" s="3" t="str">
        <f>TeamA!B24</f>
        <v>Ron Aldrian Natuel</v>
      </c>
      <c r="D96" s="3" t="str">
        <f>TeamA!C24</f>
        <v>Jr</v>
      </c>
      <c r="E96" s="207">
        <f>TeamA!AH24</f>
        <v>0.70241699918833933</v>
      </c>
      <c r="F96" s="509">
        <f>TeamA!AI24</f>
        <v>5.8191932669236994</v>
      </c>
      <c r="I96" s="442">
        <f t="shared" si="16"/>
        <v>0.70241699918833933</v>
      </c>
      <c r="J96" s="443">
        <f t="shared" si="17"/>
        <v>5.8191932669236994</v>
      </c>
      <c r="K96" s="442">
        <f t="shared" si="18"/>
        <v>-1</v>
      </c>
      <c r="L96" s="443">
        <f t="shared" si="19"/>
        <v>-1</v>
      </c>
      <c r="M96" s="442">
        <f t="shared" si="20"/>
        <v>-1</v>
      </c>
      <c r="N96" s="443">
        <f t="shared" si="21"/>
        <v>-1</v>
      </c>
      <c r="O96" s="442">
        <f t="shared" si="22"/>
        <v>-1</v>
      </c>
      <c r="P96" s="443">
        <f t="shared" si="23"/>
        <v>-1</v>
      </c>
    </row>
    <row r="97" spans="2:16">
      <c r="B97" s="3" t="s">
        <v>1385</v>
      </c>
      <c r="C97" s="3" t="str">
        <f>TeamA!B25</f>
        <v>Tyron Ed Tiongson</v>
      </c>
      <c r="D97" s="3" t="str">
        <f>TeamA!C25</f>
        <v>Mid</v>
      </c>
      <c r="E97" s="207">
        <f>TeamA!AH25</f>
        <v>0.77608406922090878</v>
      </c>
      <c r="F97" s="509">
        <f>TeamA!AI25</f>
        <v>5.7154671690723156</v>
      </c>
      <c r="I97" s="442">
        <f t="shared" si="16"/>
        <v>-1</v>
      </c>
      <c r="J97" s="443">
        <f t="shared" si="17"/>
        <v>-1</v>
      </c>
      <c r="K97" s="442">
        <f t="shared" si="18"/>
        <v>0.77608406922090878</v>
      </c>
      <c r="L97" s="443">
        <f t="shared" si="19"/>
        <v>5.7154671690723156</v>
      </c>
      <c r="M97" s="442">
        <f t="shared" si="20"/>
        <v>-1</v>
      </c>
      <c r="N97" s="443">
        <f t="shared" si="21"/>
        <v>-1</v>
      </c>
      <c r="O97" s="442">
        <f t="shared" si="22"/>
        <v>-1</v>
      </c>
      <c r="P97" s="443">
        <f t="shared" si="23"/>
        <v>-1</v>
      </c>
    </row>
    <row r="98" spans="2:16">
      <c r="B98" s="3" t="s">
        <v>1385</v>
      </c>
      <c r="C98" s="3" t="str">
        <f>TeamA!B26</f>
        <v>Victor Nacino</v>
      </c>
      <c r="D98" s="3" t="str">
        <f>TeamA!C26</f>
        <v>Sr</v>
      </c>
      <c r="E98" s="207">
        <f>TeamA!AH26</f>
        <v>0.83009039105552773</v>
      </c>
      <c r="F98" s="509">
        <f>TeamA!AI26</f>
        <v>8.0885022756039078</v>
      </c>
      <c r="I98" s="442">
        <f t="shared" si="16"/>
        <v>-1</v>
      </c>
      <c r="J98" s="443">
        <f t="shared" si="17"/>
        <v>-1</v>
      </c>
      <c r="K98" s="442">
        <f t="shared" si="18"/>
        <v>-1</v>
      </c>
      <c r="L98" s="443">
        <f t="shared" si="19"/>
        <v>-1</v>
      </c>
      <c r="M98" s="442">
        <f t="shared" si="20"/>
        <v>0.83009039105552773</v>
      </c>
      <c r="N98" s="443">
        <f t="shared" si="21"/>
        <v>8.0885022756039078</v>
      </c>
      <c r="O98" s="442">
        <f t="shared" si="22"/>
        <v>-1</v>
      </c>
      <c r="P98" s="443">
        <f t="shared" si="23"/>
        <v>-1</v>
      </c>
    </row>
    <row r="99" spans="2:16">
      <c r="B99" s="3" t="s">
        <v>1385</v>
      </c>
      <c r="C99" s="3" t="str">
        <f>TeamA!B27</f>
        <v>Ynfane Shairene Alcain</v>
      </c>
      <c r="D99" s="3" t="str">
        <f>TeamA!C27</f>
        <v>Jr</v>
      </c>
      <c r="E99" s="207">
        <f>TeamA!AH27</f>
        <v>0.84773876699305717</v>
      </c>
      <c r="F99" s="509">
        <f>TeamA!AI27</f>
        <v>14.443299253823183</v>
      </c>
      <c r="I99" s="442">
        <f t="shared" si="16"/>
        <v>0.84773876699305717</v>
      </c>
      <c r="J99" s="443">
        <f t="shared" si="17"/>
        <v>14.443299253823183</v>
      </c>
      <c r="K99" s="442">
        <f t="shared" si="18"/>
        <v>-1</v>
      </c>
      <c r="L99" s="443">
        <f t="shared" si="19"/>
        <v>-1</v>
      </c>
      <c r="M99" s="442">
        <f t="shared" si="20"/>
        <v>-1</v>
      </c>
      <c r="N99" s="443">
        <f t="shared" si="21"/>
        <v>-1</v>
      </c>
      <c r="O99" s="442">
        <f t="shared" si="22"/>
        <v>-1</v>
      </c>
      <c r="P99" s="443">
        <f t="shared" si="23"/>
        <v>-1</v>
      </c>
    </row>
    <row r="100" spans="2:16">
      <c r="B100" s="3" t="s">
        <v>1386</v>
      </c>
      <c r="C100" s="3" t="str">
        <f>TeamB!B10</f>
        <v>Aclan, Alejo Len</v>
      </c>
      <c r="D100" s="3" t="str">
        <f>TeamB!C10</f>
        <v>Jr</v>
      </c>
      <c r="E100" s="207">
        <f>TeamB!AH10</f>
        <v>1.0211769161710245</v>
      </c>
      <c r="F100" s="509">
        <f>TeamB!AI10</f>
        <v>6.389554180355173</v>
      </c>
      <c r="I100" s="442">
        <f t="shared" si="16"/>
        <v>1.0211769161710245</v>
      </c>
      <c r="J100" s="443">
        <f t="shared" si="17"/>
        <v>6.389554180355173</v>
      </c>
      <c r="K100" s="442">
        <f t="shared" si="18"/>
        <v>-1</v>
      </c>
      <c r="L100" s="443">
        <f t="shared" si="19"/>
        <v>-1</v>
      </c>
      <c r="M100" s="442">
        <f t="shared" si="20"/>
        <v>-1</v>
      </c>
      <c r="N100" s="443">
        <f t="shared" si="21"/>
        <v>-1</v>
      </c>
      <c r="O100" s="442">
        <f t="shared" si="22"/>
        <v>-1</v>
      </c>
      <c r="P100" s="443">
        <f t="shared" si="23"/>
        <v>-1</v>
      </c>
    </row>
    <row r="101" spans="2:16">
      <c r="B101" s="3" t="s">
        <v>1386</v>
      </c>
      <c r="C101" s="3" t="str">
        <f>TeamB!B11</f>
        <v>Carl Angelo Cuba</v>
      </c>
      <c r="D101" s="3" t="str">
        <f>TeamB!C11</f>
        <v>Jr</v>
      </c>
      <c r="E101" s="207">
        <f>TeamB!AH11</f>
        <v>0.70211023539850725</v>
      </c>
      <c r="F101" s="509">
        <f>TeamB!AI11</f>
        <v>4.6786029439435017</v>
      </c>
      <c r="I101" s="442">
        <f t="shared" si="16"/>
        <v>0.70211023539850725</v>
      </c>
      <c r="J101" s="443">
        <f t="shared" si="17"/>
        <v>4.6786029439435017</v>
      </c>
      <c r="K101" s="442">
        <f t="shared" si="18"/>
        <v>-1</v>
      </c>
      <c r="L101" s="443">
        <f t="shared" si="19"/>
        <v>-1</v>
      </c>
      <c r="M101" s="442">
        <f t="shared" si="20"/>
        <v>-1</v>
      </c>
      <c r="N101" s="443">
        <f t="shared" si="21"/>
        <v>-1</v>
      </c>
      <c r="O101" s="442">
        <f t="shared" si="22"/>
        <v>-1</v>
      </c>
      <c r="P101" s="443">
        <f t="shared" si="23"/>
        <v>-1</v>
      </c>
    </row>
    <row r="102" spans="2:16">
      <c r="B102" s="3" t="s">
        <v>1386</v>
      </c>
      <c r="C102" s="3" t="str">
        <f>TeamB!B12</f>
        <v>Deneil Carlo Penalba</v>
      </c>
      <c r="D102" s="3" t="str">
        <f>TeamB!C12</f>
        <v>Mid</v>
      </c>
      <c r="E102" s="207">
        <f>TeamB!AH12</f>
        <v>0.79171506727172591</v>
      </c>
      <c r="F102" s="509">
        <f>TeamB!AI12</f>
        <v>3.4537593435035787</v>
      </c>
      <c r="I102" s="442">
        <f t="shared" si="16"/>
        <v>-1</v>
      </c>
      <c r="J102" s="443">
        <f t="shared" si="17"/>
        <v>-1</v>
      </c>
      <c r="K102" s="442">
        <f t="shared" si="18"/>
        <v>0.79171506727172591</v>
      </c>
      <c r="L102" s="443">
        <f t="shared" si="19"/>
        <v>3.4537593435035787</v>
      </c>
      <c r="M102" s="442">
        <f t="shared" si="20"/>
        <v>-1</v>
      </c>
      <c r="N102" s="443">
        <f t="shared" si="21"/>
        <v>-1</v>
      </c>
      <c r="O102" s="442">
        <f t="shared" si="22"/>
        <v>-1</v>
      </c>
      <c r="P102" s="443">
        <f t="shared" si="23"/>
        <v>-1</v>
      </c>
    </row>
    <row r="103" spans="2:16">
      <c r="B103" s="3" t="s">
        <v>1386</v>
      </c>
      <c r="C103" s="3" t="str">
        <f>TeamB!B13</f>
        <v>Eleazar Torres</v>
      </c>
      <c r="D103" s="3" t="str">
        <f>TeamB!C13</f>
        <v>Mid</v>
      </c>
      <c r="E103" s="207">
        <f>TeamB!AH13</f>
        <v>0.73761557762359209</v>
      </c>
      <c r="F103" s="509">
        <f>TeamB!AI13</f>
        <v>4.6047289159323741</v>
      </c>
      <c r="I103" s="442">
        <f t="shared" si="16"/>
        <v>-1</v>
      </c>
      <c r="J103" s="443">
        <f t="shared" si="17"/>
        <v>-1</v>
      </c>
      <c r="K103" s="442">
        <f t="shared" si="18"/>
        <v>0.73761557762359209</v>
      </c>
      <c r="L103" s="443">
        <f t="shared" si="19"/>
        <v>4.6047289159323741</v>
      </c>
      <c r="M103" s="442">
        <f t="shared" si="20"/>
        <v>-1</v>
      </c>
      <c r="N103" s="443">
        <f t="shared" si="21"/>
        <v>-1</v>
      </c>
      <c r="O103" s="442">
        <f t="shared" si="22"/>
        <v>-1</v>
      </c>
      <c r="P103" s="443">
        <f t="shared" si="23"/>
        <v>-1</v>
      </c>
    </row>
    <row r="104" spans="2:16">
      <c r="B104" s="3" t="s">
        <v>1386</v>
      </c>
      <c r="C104" s="3" t="str">
        <f>TeamB!B14</f>
        <v>Gilbert Jay  Maminta</v>
      </c>
      <c r="D104" s="3" t="str">
        <f>TeamB!C14</f>
        <v>Jr</v>
      </c>
      <c r="E104" s="207">
        <f>TeamB!AH14</f>
        <v>0.74397217098897772</v>
      </c>
      <c r="F104" s="509">
        <f>TeamB!AI14</f>
        <v>8.8593869154140812</v>
      </c>
      <c r="I104" s="442">
        <f t="shared" si="16"/>
        <v>0.74397217098897772</v>
      </c>
      <c r="J104" s="443">
        <f t="shared" si="17"/>
        <v>8.8593869154140812</v>
      </c>
      <c r="K104" s="442">
        <f t="shared" si="18"/>
        <v>-1</v>
      </c>
      <c r="L104" s="443">
        <f t="shared" si="19"/>
        <v>-1</v>
      </c>
      <c r="M104" s="442">
        <f t="shared" si="20"/>
        <v>-1</v>
      </c>
      <c r="N104" s="443">
        <f t="shared" si="21"/>
        <v>-1</v>
      </c>
      <c r="O104" s="442">
        <f t="shared" si="22"/>
        <v>-1</v>
      </c>
      <c r="P104" s="443">
        <f t="shared" si="23"/>
        <v>-1</v>
      </c>
    </row>
    <row r="105" spans="2:16">
      <c r="B105" s="3" t="s">
        <v>1386</v>
      </c>
      <c r="C105" s="3" t="str">
        <f>TeamB!B15</f>
        <v>James Patrick Fernandez</v>
      </c>
      <c r="D105" s="3" t="str">
        <f>TeamB!C15</f>
        <v>Sr</v>
      </c>
      <c r="E105" s="207">
        <f>TeamB!AH15</f>
        <v>0.7249028226483063</v>
      </c>
      <c r="F105" s="509">
        <f>TeamB!AI15</f>
        <v>3.2115303871668637</v>
      </c>
      <c r="I105" s="442">
        <f t="shared" si="16"/>
        <v>-1</v>
      </c>
      <c r="J105" s="443">
        <f t="shared" si="17"/>
        <v>-1</v>
      </c>
      <c r="K105" s="442">
        <f t="shared" si="18"/>
        <v>-1</v>
      </c>
      <c r="L105" s="443">
        <f t="shared" si="19"/>
        <v>-1</v>
      </c>
      <c r="M105" s="442">
        <f t="shared" si="20"/>
        <v>0.7249028226483063</v>
      </c>
      <c r="N105" s="443">
        <f t="shared" si="21"/>
        <v>3.2115303871668637</v>
      </c>
      <c r="O105" s="442">
        <f t="shared" si="22"/>
        <v>-1</v>
      </c>
      <c r="P105" s="443">
        <f t="shared" si="23"/>
        <v>-1</v>
      </c>
    </row>
    <row r="106" spans="2:16">
      <c r="B106" s="3" t="s">
        <v>1386</v>
      </c>
      <c r="C106" s="3" t="str">
        <f>TeamB!B16</f>
        <v>Janssen Donato</v>
      </c>
      <c r="D106" s="3" t="str">
        <f>TeamB!C16</f>
        <v>Jr</v>
      </c>
      <c r="E106" s="207">
        <f>TeamB!AH16</f>
        <v>0.77614911130180642</v>
      </c>
      <c r="F106" s="509">
        <f>TeamB!AI16</f>
        <v>6.3735465384500207</v>
      </c>
      <c r="I106" s="442">
        <f t="shared" si="16"/>
        <v>0.77614911130180642</v>
      </c>
      <c r="J106" s="443">
        <f t="shared" si="17"/>
        <v>6.3735465384500207</v>
      </c>
      <c r="K106" s="442">
        <f t="shared" si="18"/>
        <v>-1</v>
      </c>
      <c r="L106" s="443">
        <f t="shared" si="19"/>
        <v>-1</v>
      </c>
      <c r="M106" s="442">
        <f t="shared" si="20"/>
        <v>-1</v>
      </c>
      <c r="N106" s="443">
        <f t="shared" si="21"/>
        <v>-1</v>
      </c>
      <c r="O106" s="442">
        <f t="shared" si="22"/>
        <v>-1</v>
      </c>
      <c r="P106" s="443">
        <f t="shared" si="23"/>
        <v>-1</v>
      </c>
    </row>
    <row r="107" spans="2:16">
      <c r="B107" s="3" t="s">
        <v>1386</v>
      </c>
      <c r="C107" s="3" t="str">
        <f>TeamB!B17</f>
        <v>Jennilyn Natad</v>
      </c>
      <c r="D107" s="3" t="str">
        <f>TeamB!C17</f>
        <v>Jr</v>
      </c>
      <c r="E107" s="207">
        <f>TeamB!AH17</f>
        <v>0.63376943646561357</v>
      </c>
      <c r="F107" s="509">
        <f>TeamB!AI17</f>
        <v>2.1779865181139706</v>
      </c>
      <c r="I107" s="442">
        <f t="shared" si="16"/>
        <v>0.63376943646561357</v>
      </c>
      <c r="J107" s="443">
        <f t="shared" si="17"/>
        <v>2.1779865181139706</v>
      </c>
      <c r="K107" s="442">
        <f t="shared" si="18"/>
        <v>-1</v>
      </c>
      <c r="L107" s="443">
        <f t="shared" si="19"/>
        <v>-1</v>
      </c>
      <c r="M107" s="442">
        <f t="shared" si="20"/>
        <v>-1</v>
      </c>
      <c r="N107" s="443">
        <f t="shared" si="21"/>
        <v>-1</v>
      </c>
      <c r="O107" s="442">
        <f t="shared" si="22"/>
        <v>-1</v>
      </c>
      <c r="P107" s="443">
        <f t="shared" si="23"/>
        <v>-1</v>
      </c>
    </row>
    <row r="108" spans="2:16">
      <c r="B108" s="3" t="s">
        <v>1386</v>
      </c>
      <c r="C108" s="3" t="str">
        <f>TeamB!B18</f>
        <v>Jim Rhose David</v>
      </c>
      <c r="D108" s="3" t="str">
        <f>TeamB!C18</f>
        <v>Jr</v>
      </c>
      <c r="E108" s="207">
        <f>TeamB!AH18</f>
        <v>0.64814483497901376</v>
      </c>
      <c r="F108" s="509">
        <f>TeamB!AI18</f>
        <v>9.2192728882638662</v>
      </c>
      <c r="I108" s="442">
        <f t="shared" si="16"/>
        <v>0.64814483497901376</v>
      </c>
      <c r="J108" s="443">
        <f t="shared" si="17"/>
        <v>9.2192728882638662</v>
      </c>
      <c r="K108" s="442">
        <f t="shared" si="18"/>
        <v>-1</v>
      </c>
      <c r="L108" s="443">
        <f t="shared" si="19"/>
        <v>-1</v>
      </c>
      <c r="M108" s="442">
        <f t="shared" si="20"/>
        <v>-1</v>
      </c>
      <c r="N108" s="443">
        <f t="shared" si="21"/>
        <v>-1</v>
      </c>
      <c r="O108" s="442">
        <f t="shared" si="22"/>
        <v>-1</v>
      </c>
      <c r="P108" s="443">
        <f t="shared" si="23"/>
        <v>-1</v>
      </c>
    </row>
    <row r="109" spans="2:16">
      <c r="B109" s="3" t="s">
        <v>1386</v>
      </c>
      <c r="C109" s="3" t="str">
        <f>TeamB!B19</f>
        <v>Jimbo Marasigan</v>
      </c>
      <c r="D109" s="3" t="str">
        <f>TeamB!C19</f>
        <v>Jr</v>
      </c>
      <c r="E109" s="207">
        <f>TeamB!AH19</f>
        <v>1.3133634734441186</v>
      </c>
      <c r="F109" s="509">
        <f>TeamB!AI19</f>
        <v>9.006416425516246</v>
      </c>
      <c r="I109" s="442">
        <f t="shared" si="16"/>
        <v>1.3133634734441186</v>
      </c>
      <c r="J109" s="443">
        <f t="shared" si="17"/>
        <v>9.006416425516246</v>
      </c>
      <c r="K109" s="442">
        <f t="shared" si="18"/>
        <v>-1</v>
      </c>
      <c r="L109" s="443">
        <f t="shared" si="19"/>
        <v>-1</v>
      </c>
      <c r="M109" s="442">
        <f t="shared" si="20"/>
        <v>-1</v>
      </c>
      <c r="N109" s="443">
        <f t="shared" si="21"/>
        <v>-1</v>
      </c>
      <c r="O109" s="442">
        <f t="shared" si="22"/>
        <v>-1</v>
      </c>
      <c r="P109" s="443">
        <f t="shared" si="23"/>
        <v>-1</v>
      </c>
    </row>
    <row r="110" spans="2:16">
      <c r="B110" s="3" t="s">
        <v>1386</v>
      </c>
      <c r="C110" s="3" t="str">
        <f>TeamB!B20</f>
        <v>Jomari Decena</v>
      </c>
      <c r="D110" s="3" t="str">
        <f>TeamB!C20</f>
        <v>Jr</v>
      </c>
      <c r="E110" s="472">
        <v>-1</v>
      </c>
      <c r="F110" s="509">
        <f>TeamB!AI20</f>
        <v>5.4645412088873044</v>
      </c>
      <c r="I110" s="442">
        <f t="shared" si="16"/>
        <v>-1</v>
      </c>
      <c r="J110" s="443">
        <f t="shared" si="17"/>
        <v>5.4645412088873044</v>
      </c>
      <c r="K110" s="442">
        <f t="shared" si="18"/>
        <v>-1</v>
      </c>
      <c r="L110" s="443">
        <f t="shared" si="19"/>
        <v>-1</v>
      </c>
      <c r="M110" s="442">
        <f t="shared" si="20"/>
        <v>-1</v>
      </c>
      <c r="N110" s="443">
        <f t="shared" si="21"/>
        <v>-1</v>
      </c>
      <c r="O110" s="442">
        <f t="shared" si="22"/>
        <v>-1</v>
      </c>
      <c r="P110" s="443">
        <f t="shared" si="23"/>
        <v>-1</v>
      </c>
    </row>
    <row r="111" spans="2:16">
      <c r="B111" s="3" t="s">
        <v>1386</v>
      </c>
      <c r="C111" s="3" t="str">
        <f>TeamB!B21</f>
        <v>Jonald Diesta</v>
      </c>
      <c r="D111" s="3" t="str">
        <f>TeamB!C21</f>
        <v>Sr</v>
      </c>
      <c r="E111" s="207">
        <f>TeamB!AH21</f>
        <v>1.081542473647737</v>
      </c>
      <c r="F111" s="509">
        <f>TeamB!AI21</f>
        <v>11.725249713655403</v>
      </c>
      <c r="I111" s="442">
        <f t="shared" si="16"/>
        <v>-1</v>
      </c>
      <c r="J111" s="443">
        <f t="shared" si="17"/>
        <v>-1</v>
      </c>
      <c r="K111" s="442">
        <f t="shared" si="18"/>
        <v>-1</v>
      </c>
      <c r="L111" s="443">
        <f t="shared" si="19"/>
        <v>-1</v>
      </c>
      <c r="M111" s="442">
        <f t="shared" si="20"/>
        <v>1.081542473647737</v>
      </c>
      <c r="N111" s="443">
        <f t="shared" si="21"/>
        <v>11.725249713655403</v>
      </c>
      <c r="O111" s="442">
        <f t="shared" si="22"/>
        <v>-1</v>
      </c>
      <c r="P111" s="443">
        <f t="shared" si="23"/>
        <v>-1</v>
      </c>
    </row>
    <row r="112" spans="2:16">
      <c r="B112" s="3" t="s">
        <v>1386</v>
      </c>
      <c r="C112" s="3" t="str">
        <f>TeamB!B22</f>
        <v>Joshua Bohol</v>
      </c>
      <c r="D112" s="3" t="str">
        <f>TeamB!C22</f>
        <v>Jr</v>
      </c>
      <c r="E112" s="207">
        <f>TeamB!AH22</f>
        <v>0.82446345580750513</v>
      </c>
      <c r="F112" s="509">
        <f>TeamB!AI22</f>
        <v>12.913943078962006</v>
      </c>
      <c r="I112" s="442">
        <f t="shared" si="16"/>
        <v>0.82446345580750513</v>
      </c>
      <c r="J112" s="443">
        <f t="shared" si="17"/>
        <v>12.913943078962006</v>
      </c>
      <c r="K112" s="442">
        <f t="shared" si="18"/>
        <v>-1</v>
      </c>
      <c r="L112" s="443">
        <f t="shared" si="19"/>
        <v>-1</v>
      </c>
      <c r="M112" s="442">
        <f t="shared" si="20"/>
        <v>-1</v>
      </c>
      <c r="N112" s="443">
        <f t="shared" si="21"/>
        <v>-1</v>
      </c>
      <c r="O112" s="442">
        <f t="shared" si="22"/>
        <v>-1</v>
      </c>
      <c r="P112" s="443">
        <f t="shared" si="23"/>
        <v>-1</v>
      </c>
    </row>
    <row r="113" spans="1:16">
      <c r="B113" s="3" t="s">
        <v>1386</v>
      </c>
      <c r="C113" s="3" t="str">
        <f>TeamB!B23</f>
        <v>Ralph Edmund Gacute</v>
      </c>
      <c r="D113" s="3" t="str">
        <f>TeamB!C23</f>
        <v>Jr</v>
      </c>
      <c r="E113" s="207">
        <f>TeamB!AH23</f>
        <v>0.62007252326217843</v>
      </c>
      <c r="F113" s="509">
        <f>TeamB!AI23</f>
        <v>8.3664921106899488</v>
      </c>
      <c r="I113" s="442">
        <f t="shared" si="16"/>
        <v>0.62007252326217843</v>
      </c>
      <c r="J113" s="443">
        <f t="shared" si="17"/>
        <v>8.3664921106899488</v>
      </c>
      <c r="K113" s="442">
        <f t="shared" si="18"/>
        <v>-1</v>
      </c>
      <c r="L113" s="443">
        <f t="shared" si="19"/>
        <v>-1</v>
      </c>
      <c r="M113" s="442">
        <f t="shared" si="20"/>
        <v>-1</v>
      </c>
      <c r="N113" s="443">
        <f t="shared" si="21"/>
        <v>-1</v>
      </c>
      <c r="O113" s="442">
        <f t="shared" si="22"/>
        <v>-1</v>
      </c>
      <c r="P113" s="443">
        <f t="shared" si="23"/>
        <v>-1</v>
      </c>
    </row>
    <row r="114" spans="1:16">
      <c r="B114" s="3" t="s">
        <v>1386</v>
      </c>
      <c r="C114" s="3" t="str">
        <f>TeamB!B24</f>
        <v>Romel Magsino</v>
      </c>
      <c r="D114" s="3" t="str">
        <f>TeamB!C24</f>
        <v>Mid</v>
      </c>
      <c r="E114" s="207">
        <f>TeamB!AH24</f>
        <v>0.6690025571632161</v>
      </c>
      <c r="F114" s="509">
        <f>TeamB!AI24</f>
        <v>12.434512434512436</v>
      </c>
      <c r="I114" s="442">
        <f t="shared" si="16"/>
        <v>-1</v>
      </c>
      <c r="J114" s="443">
        <f t="shared" si="17"/>
        <v>-1</v>
      </c>
      <c r="K114" s="442">
        <f t="shared" si="18"/>
        <v>0.6690025571632161</v>
      </c>
      <c r="L114" s="443">
        <f t="shared" si="19"/>
        <v>12.434512434512436</v>
      </c>
      <c r="M114" s="442">
        <f t="shared" si="20"/>
        <v>-1</v>
      </c>
      <c r="N114" s="443">
        <f t="shared" si="21"/>
        <v>-1</v>
      </c>
      <c r="O114" s="442">
        <f t="shared" si="22"/>
        <v>-1</v>
      </c>
      <c r="P114" s="443">
        <f t="shared" si="23"/>
        <v>-1</v>
      </c>
    </row>
    <row r="115" spans="1:16">
      <c r="B115" s="3" t="s">
        <v>1386</v>
      </c>
      <c r="C115" s="3" t="str">
        <f>TeamB!B25</f>
        <v>Vincent Mapalad</v>
      </c>
      <c r="D115" s="3" t="str">
        <f>TeamB!C25</f>
        <v>Jr</v>
      </c>
      <c r="E115" s="207">
        <f>TeamB!AH25</f>
        <v>1.0515900786844183</v>
      </c>
      <c r="F115" s="509">
        <f>TeamB!AI25</f>
        <v>7.449513336883288</v>
      </c>
      <c r="I115" s="442">
        <f t="shared" si="16"/>
        <v>1.0515900786844183</v>
      </c>
      <c r="J115" s="443">
        <f t="shared" si="17"/>
        <v>7.449513336883288</v>
      </c>
      <c r="K115" s="442">
        <f t="shared" si="18"/>
        <v>-1</v>
      </c>
      <c r="L115" s="443">
        <f t="shared" si="19"/>
        <v>-1</v>
      </c>
      <c r="M115" s="442">
        <f t="shared" si="20"/>
        <v>-1</v>
      </c>
      <c r="N115" s="443">
        <f t="shared" si="21"/>
        <v>-1</v>
      </c>
      <c r="O115" s="442">
        <f t="shared" si="22"/>
        <v>-1</v>
      </c>
      <c r="P115" s="443">
        <f t="shared" si="23"/>
        <v>-1</v>
      </c>
    </row>
    <row r="116" spans="1:16">
      <c r="A116" s="107" t="s">
        <v>1410</v>
      </c>
      <c r="B116" s="3" t="s">
        <v>1386</v>
      </c>
      <c r="C116" s="3" t="str">
        <f>TeamB!B26</f>
        <v>Absin, John Ershon</v>
      </c>
      <c r="D116" s="3" t="str">
        <f>TeamB!C26</f>
        <v>TL</v>
      </c>
      <c r="E116" s="207">
        <f>TeamB!AH26</f>
        <v>0.54701388888888891</v>
      </c>
      <c r="F116" s="509">
        <f>TeamB!AI26</f>
        <v>8.7620141944269854</v>
      </c>
      <c r="I116" s="442">
        <f t="shared" si="16"/>
        <v>-1</v>
      </c>
      <c r="J116" s="443">
        <f t="shared" si="17"/>
        <v>-1</v>
      </c>
      <c r="K116" s="442">
        <f t="shared" si="18"/>
        <v>-1</v>
      </c>
      <c r="L116" s="443">
        <f t="shared" si="19"/>
        <v>-1</v>
      </c>
      <c r="M116" s="442">
        <f t="shared" si="20"/>
        <v>-1</v>
      </c>
      <c r="N116" s="443">
        <f t="shared" si="21"/>
        <v>-1</v>
      </c>
      <c r="O116" s="442">
        <f t="shared" si="22"/>
        <v>0.54701388888888891</v>
      </c>
      <c r="P116" s="443">
        <f t="shared" si="23"/>
        <v>8.7620141944269854</v>
      </c>
    </row>
    <row r="117" spans="1:16">
      <c r="B117" s="3" t="s">
        <v>1386</v>
      </c>
      <c r="C117" s="3" t="str">
        <f>TeamB!B27</f>
        <v>Fabella, Emma</v>
      </c>
      <c r="D117" s="3" t="str">
        <f>TeamB!C27</f>
        <v>TL</v>
      </c>
      <c r="E117" s="207">
        <f>TeamB!AH27</f>
        <v>0.17674418604651163</v>
      </c>
      <c r="F117" s="509">
        <f>TeamB!AI27</f>
        <v>2.6097271648873073</v>
      </c>
      <c r="I117" s="442">
        <f t="shared" si="16"/>
        <v>-1</v>
      </c>
      <c r="J117" s="443">
        <f t="shared" si="17"/>
        <v>-1</v>
      </c>
      <c r="K117" s="442">
        <f t="shared" si="18"/>
        <v>-1</v>
      </c>
      <c r="L117" s="443">
        <f t="shared" si="19"/>
        <v>-1</v>
      </c>
      <c r="M117" s="442">
        <f t="shared" si="20"/>
        <v>-1</v>
      </c>
      <c r="N117" s="443">
        <f t="shared" si="21"/>
        <v>-1</v>
      </c>
      <c r="O117" s="442">
        <f t="shared" si="22"/>
        <v>0.17674418604651163</v>
      </c>
      <c r="P117" s="443">
        <f t="shared" si="23"/>
        <v>2.6097271648873073</v>
      </c>
    </row>
    <row r="118" spans="1:16">
      <c r="B118" s="3" t="s">
        <v>1386</v>
      </c>
      <c r="C118" s="3" t="str">
        <f>TeamB!B28</f>
        <v>Mejia, Jeffrey</v>
      </c>
      <c r="D118" s="3" t="str">
        <f>TeamB!C28</f>
        <v>Sr</v>
      </c>
      <c r="E118" s="207">
        <f>TeamB!AH28</f>
        <v>0.67056060606060608</v>
      </c>
      <c r="F118" s="509">
        <f>TeamB!AI28</f>
        <v>21.111742055253217</v>
      </c>
      <c r="I118" s="442">
        <f t="shared" si="16"/>
        <v>-1</v>
      </c>
      <c r="J118" s="443">
        <f t="shared" si="17"/>
        <v>-1</v>
      </c>
      <c r="K118" s="442">
        <f t="shared" si="18"/>
        <v>-1</v>
      </c>
      <c r="L118" s="443">
        <f t="shared" si="19"/>
        <v>-1</v>
      </c>
      <c r="M118" s="442">
        <f t="shared" si="20"/>
        <v>0.67056060606060608</v>
      </c>
      <c r="N118" s="443">
        <f t="shared" si="21"/>
        <v>21.111742055253217</v>
      </c>
      <c r="O118" s="442">
        <f t="shared" si="22"/>
        <v>-1</v>
      </c>
      <c r="P118" s="443">
        <f t="shared" si="23"/>
        <v>-1</v>
      </c>
    </row>
    <row r="119" spans="1:16">
      <c r="A119" s="107" t="s">
        <v>1410</v>
      </c>
      <c r="B119" s="3" t="s">
        <v>1387</v>
      </c>
      <c r="C119" s="3" t="str">
        <f>TeamC!B10</f>
        <v>Anna Marie Catalma</v>
      </c>
      <c r="D119" s="3" t="str">
        <f>TeamC!C10</f>
        <v>TL</v>
      </c>
      <c r="E119" s="207">
        <f>TeamC!AH10</f>
        <v>0.54623376623376629</v>
      </c>
      <c r="F119" s="509">
        <f>TeamC!AI10</f>
        <v>46.663445017182134</v>
      </c>
      <c r="I119" s="442">
        <f t="shared" si="16"/>
        <v>-1</v>
      </c>
      <c r="J119" s="443">
        <f t="shared" si="17"/>
        <v>-1</v>
      </c>
      <c r="K119" s="442">
        <f t="shared" si="18"/>
        <v>-1</v>
      </c>
      <c r="L119" s="443">
        <f t="shared" si="19"/>
        <v>-1</v>
      </c>
      <c r="M119" s="442">
        <f t="shared" si="20"/>
        <v>-1</v>
      </c>
      <c r="N119" s="443">
        <f t="shared" si="21"/>
        <v>-1</v>
      </c>
      <c r="O119" s="442">
        <f t="shared" si="22"/>
        <v>0.54623376623376629</v>
      </c>
      <c r="P119" s="443">
        <f t="shared" si="23"/>
        <v>46.663445017182134</v>
      </c>
    </row>
    <row r="120" spans="1:16">
      <c r="B120" s="3" t="s">
        <v>1387</v>
      </c>
      <c r="C120" s="3" t="str">
        <f>TeamC!B11</f>
        <v>Bonjour Bonifacio</v>
      </c>
      <c r="D120" s="3" t="str">
        <f>TeamC!C11</f>
        <v>Jr</v>
      </c>
      <c r="E120" s="207">
        <f>TeamC!AH11</f>
        <v>0.68578086995536869</v>
      </c>
      <c r="F120" s="509">
        <f>TeamC!AI11</f>
        <v>4.9079361618981938</v>
      </c>
      <c r="I120" s="442">
        <f t="shared" si="16"/>
        <v>0.68578086995536869</v>
      </c>
      <c r="J120" s="443">
        <f t="shared" si="17"/>
        <v>4.9079361618981938</v>
      </c>
      <c r="K120" s="442">
        <f t="shared" si="18"/>
        <v>-1</v>
      </c>
      <c r="L120" s="443">
        <f t="shared" si="19"/>
        <v>-1</v>
      </c>
      <c r="M120" s="442">
        <f t="shared" si="20"/>
        <v>-1</v>
      </c>
      <c r="N120" s="443">
        <f t="shared" si="21"/>
        <v>-1</v>
      </c>
      <c r="O120" s="442">
        <f t="shared" si="22"/>
        <v>-1</v>
      </c>
      <c r="P120" s="443">
        <f t="shared" si="23"/>
        <v>-1</v>
      </c>
    </row>
    <row r="121" spans="1:16">
      <c r="B121" s="3" t="s">
        <v>1387</v>
      </c>
      <c r="C121" s="3" t="str">
        <f>TeamC!B12</f>
        <v>Brendon Glenn Palileo</v>
      </c>
      <c r="D121" s="3" t="str">
        <f>TeamC!C12</f>
        <v>Jr</v>
      </c>
      <c r="E121" s="207">
        <f>TeamC!AH12</f>
        <v>0.50652921465534517</v>
      </c>
      <c r="F121" s="509">
        <f>TeamC!AI12</f>
        <v>16.740855723482081</v>
      </c>
      <c r="I121" s="442">
        <f t="shared" si="16"/>
        <v>0.50652921465534517</v>
      </c>
      <c r="J121" s="443">
        <f t="shared" si="17"/>
        <v>16.740855723482081</v>
      </c>
      <c r="K121" s="442">
        <f t="shared" si="18"/>
        <v>-1</v>
      </c>
      <c r="L121" s="443">
        <f t="shared" si="19"/>
        <v>-1</v>
      </c>
      <c r="M121" s="442">
        <f t="shared" si="20"/>
        <v>-1</v>
      </c>
      <c r="N121" s="443">
        <f t="shared" si="21"/>
        <v>-1</v>
      </c>
      <c r="O121" s="442">
        <f t="shared" si="22"/>
        <v>-1</v>
      </c>
      <c r="P121" s="443">
        <f t="shared" si="23"/>
        <v>-1</v>
      </c>
    </row>
    <row r="122" spans="1:16">
      <c r="B122" s="3" t="s">
        <v>1387</v>
      </c>
      <c r="C122" s="3" t="str">
        <f>TeamC!B13</f>
        <v>Chrestian Tuazon</v>
      </c>
      <c r="D122" s="3" t="str">
        <f>TeamC!C13</f>
        <v>Jr</v>
      </c>
      <c r="E122" s="207">
        <f>TeamC!AH13</f>
        <v>0.55507814424735158</v>
      </c>
      <c r="F122" s="509">
        <f>TeamC!AI13</f>
        <v>2.8866211888122537</v>
      </c>
      <c r="I122" s="442">
        <f t="shared" si="16"/>
        <v>0.55507814424735158</v>
      </c>
      <c r="J122" s="443">
        <f t="shared" si="17"/>
        <v>2.8866211888122537</v>
      </c>
      <c r="K122" s="442">
        <f t="shared" si="18"/>
        <v>-1</v>
      </c>
      <c r="L122" s="443">
        <f t="shared" si="19"/>
        <v>-1</v>
      </c>
      <c r="M122" s="442">
        <f t="shared" si="20"/>
        <v>-1</v>
      </c>
      <c r="N122" s="443">
        <f t="shared" si="21"/>
        <v>-1</v>
      </c>
      <c r="O122" s="442">
        <f t="shared" si="22"/>
        <v>-1</v>
      </c>
      <c r="P122" s="443">
        <f t="shared" si="23"/>
        <v>-1</v>
      </c>
    </row>
    <row r="123" spans="1:16">
      <c r="B123" s="3" t="s">
        <v>1387</v>
      </c>
      <c r="C123" s="3" t="str">
        <f>TeamC!B14</f>
        <v>Christian Buban</v>
      </c>
      <c r="D123" s="3" t="str">
        <f>TeamC!C14</f>
        <v>Jr</v>
      </c>
      <c r="E123" s="207">
        <f>TeamC!AH14</f>
        <v>0.7027105621118267</v>
      </c>
      <c r="F123" s="509">
        <f>TeamC!AI14</f>
        <v>5.3719552715472254</v>
      </c>
      <c r="I123" s="442">
        <f t="shared" si="16"/>
        <v>0.7027105621118267</v>
      </c>
      <c r="J123" s="443">
        <f t="shared" si="17"/>
        <v>5.3719552715472254</v>
      </c>
      <c r="K123" s="442">
        <f t="shared" si="18"/>
        <v>-1</v>
      </c>
      <c r="L123" s="443">
        <f t="shared" si="19"/>
        <v>-1</v>
      </c>
      <c r="M123" s="442">
        <f t="shared" si="20"/>
        <v>-1</v>
      </c>
      <c r="N123" s="443">
        <f t="shared" si="21"/>
        <v>-1</v>
      </c>
      <c r="O123" s="442">
        <f t="shared" si="22"/>
        <v>-1</v>
      </c>
      <c r="P123" s="443">
        <f t="shared" si="23"/>
        <v>-1</v>
      </c>
    </row>
    <row r="124" spans="1:16">
      <c r="A124" s="107" t="s">
        <v>1410</v>
      </c>
      <c r="B124" s="3" t="s">
        <v>1387</v>
      </c>
      <c r="C124" s="3" t="str">
        <f>TeamC!B15</f>
        <v>Clarence Bauzon</v>
      </c>
      <c r="D124" s="3" t="str">
        <f>TeamC!C15</f>
        <v>Jr</v>
      </c>
      <c r="E124" s="207">
        <f>TeamC!AH15</f>
        <v>0.53626086956521735</v>
      </c>
      <c r="F124" s="509">
        <f>TeamC!AI15</f>
        <v>11.829440667698726</v>
      </c>
      <c r="I124" s="442">
        <f t="shared" si="16"/>
        <v>0.53626086956521735</v>
      </c>
      <c r="J124" s="443">
        <f t="shared" si="17"/>
        <v>11.829440667698726</v>
      </c>
      <c r="K124" s="442">
        <f t="shared" si="18"/>
        <v>-1</v>
      </c>
      <c r="L124" s="443">
        <f t="shared" si="19"/>
        <v>-1</v>
      </c>
      <c r="M124" s="442">
        <f t="shared" si="20"/>
        <v>-1</v>
      </c>
      <c r="N124" s="443">
        <f t="shared" si="21"/>
        <v>-1</v>
      </c>
      <c r="O124" s="442">
        <f t="shared" si="22"/>
        <v>-1</v>
      </c>
      <c r="P124" s="443">
        <f t="shared" si="23"/>
        <v>-1</v>
      </c>
    </row>
    <row r="125" spans="1:16">
      <c r="B125" s="3" t="s">
        <v>1387</v>
      </c>
      <c r="C125" s="3" t="str">
        <f>TeamC!B16</f>
        <v>David Solomon Trabajo</v>
      </c>
      <c r="D125" s="3" t="str">
        <f>TeamC!C16</f>
        <v>Sr</v>
      </c>
      <c r="E125" s="207">
        <f>TeamC!AH16</f>
        <v>0.94210362052795404</v>
      </c>
      <c r="F125" s="509">
        <f>TeamC!AI16</f>
        <v>9.7583193941089981</v>
      </c>
      <c r="I125" s="442">
        <f t="shared" si="16"/>
        <v>-1</v>
      </c>
      <c r="J125" s="443">
        <f t="shared" si="17"/>
        <v>-1</v>
      </c>
      <c r="K125" s="442">
        <f t="shared" si="18"/>
        <v>-1</v>
      </c>
      <c r="L125" s="443">
        <f t="shared" si="19"/>
        <v>-1</v>
      </c>
      <c r="M125" s="442">
        <f t="shared" si="20"/>
        <v>0.94210362052795404</v>
      </c>
      <c r="N125" s="443">
        <f t="shared" si="21"/>
        <v>9.7583193941089981</v>
      </c>
      <c r="O125" s="442">
        <f t="shared" si="22"/>
        <v>-1</v>
      </c>
      <c r="P125" s="443">
        <f t="shared" si="23"/>
        <v>-1</v>
      </c>
    </row>
    <row r="126" spans="1:16">
      <c r="B126" s="3" t="s">
        <v>1387</v>
      </c>
      <c r="C126" s="3" t="str">
        <f>TeamC!B17</f>
        <v>Francis Cholo Manglicmot</v>
      </c>
      <c r="D126" s="3" t="str">
        <f>TeamC!C17</f>
        <v>Sr</v>
      </c>
      <c r="E126" s="207">
        <f>TeamC!AH17</f>
        <v>0.81307049901015516</v>
      </c>
      <c r="F126" s="509">
        <f>TeamC!AI17</f>
        <v>10.189541913263136</v>
      </c>
      <c r="I126" s="442">
        <f t="shared" si="16"/>
        <v>-1</v>
      </c>
      <c r="J126" s="443">
        <f t="shared" si="17"/>
        <v>-1</v>
      </c>
      <c r="K126" s="442">
        <f t="shared" si="18"/>
        <v>-1</v>
      </c>
      <c r="L126" s="443">
        <f t="shared" si="19"/>
        <v>-1</v>
      </c>
      <c r="M126" s="442">
        <f t="shared" si="20"/>
        <v>0.81307049901015516</v>
      </c>
      <c r="N126" s="443">
        <f t="shared" si="21"/>
        <v>10.189541913263136</v>
      </c>
      <c r="O126" s="442">
        <f t="shared" si="22"/>
        <v>-1</v>
      </c>
      <c r="P126" s="443">
        <f t="shared" si="23"/>
        <v>-1</v>
      </c>
    </row>
    <row r="127" spans="1:16">
      <c r="B127" s="3" t="s">
        <v>1387</v>
      </c>
      <c r="C127" s="3" t="str">
        <f>TeamC!B18</f>
        <v>Jan Eman Zaldua</v>
      </c>
      <c r="D127" s="3" t="str">
        <f>TeamC!C18</f>
        <v>Jr</v>
      </c>
      <c r="E127" s="207">
        <f>TeamC!AH18</f>
        <v>0.53883147853736091</v>
      </c>
      <c r="F127" s="509">
        <f>TeamC!AI18</f>
        <v>12.076601239402372</v>
      </c>
      <c r="I127" s="442">
        <f t="shared" si="16"/>
        <v>0.53883147853736091</v>
      </c>
      <c r="J127" s="443">
        <f t="shared" si="17"/>
        <v>12.076601239402372</v>
      </c>
      <c r="K127" s="442">
        <f t="shared" si="18"/>
        <v>-1</v>
      </c>
      <c r="L127" s="443">
        <f t="shared" si="19"/>
        <v>-1</v>
      </c>
      <c r="M127" s="442">
        <f t="shared" si="20"/>
        <v>-1</v>
      </c>
      <c r="N127" s="443">
        <f t="shared" si="21"/>
        <v>-1</v>
      </c>
      <c r="O127" s="442">
        <f t="shared" si="22"/>
        <v>-1</v>
      </c>
      <c r="P127" s="443">
        <f t="shared" si="23"/>
        <v>-1</v>
      </c>
    </row>
    <row r="128" spans="1:16">
      <c r="B128" s="3" t="s">
        <v>1387</v>
      </c>
      <c r="C128" s="3" t="str">
        <f>TeamC!B19</f>
        <v>Jason Paul Rosario</v>
      </c>
      <c r="D128" s="3" t="str">
        <f>TeamC!C19</f>
        <v>Jr</v>
      </c>
      <c r="E128" s="207">
        <f>TeamC!AH19</f>
        <v>1.1192900208467547</v>
      </c>
      <c r="F128" s="509">
        <f>TeamC!AI19</f>
        <v>6.2021247613142281</v>
      </c>
      <c r="I128" s="442">
        <f t="shared" si="16"/>
        <v>1.1192900208467547</v>
      </c>
      <c r="J128" s="443">
        <f t="shared" si="17"/>
        <v>6.2021247613142281</v>
      </c>
      <c r="K128" s="442">
        <f t="shared" si="18"/>
        <v>-1</v>
      </c>
      <c r="L128" s="443">
        <f t="shared" si="19"/>
        <v>-1</v>
      </c>
      <c r="M128" s="442">
        <f t="shared" si="20"/>
        <v>-1</v>
      </c>
      <c r="N128" s="443">
        <f t="shared" si="21"/>
        <v>-1</v>
      </c>
      <c r="O128" s="442">
        <f t="shared" si="22"/>
        <v>-1</v>
      </c>
      <c r="P128" s="443">
        <f t="shared" si="23"/>
        <v>-1</v>
      </c>
    </row>
    <row r="129" spans="1:16">
      <c r="B129" s="3" t="s">
        <v>1387</v>
      </c>
      <c r="C129" s="3" t="str">
        <f>TeamC!B20</f>
        <v>Jemuel Zohar Ortega</v>
      </c>
      <c r="D129" s="3" t="str">
        <f>TeamC!C20</f>
        <v>Jr</v>
      </c>
      <c r="E129" s="207">
        <f>TeamC!AH20</f>
        <v>0.64697659009928477</v>
      </c>
      <c r="F129" s="509">
        <f>TeamC!AI20</f>
        <v>7.4218966279465768</v>
      </c>
      <c r="I129" s="442">
        <f t="shared" si="16"/>
        <v>0.64697659009928477</v>
      </c>
      <c r="J129" s="443">
        <f t="shared" si="17"/>
        <v>7.4218966279465768</v>
      </c>
      <c r="K129" s="442">
        <f t="shared" si="18"/>
        <v>-1</v>
      </c>
      <c r="L129" s="443">
        <f t="shared" si="19"/>
        <v>-1</v>
      </c>
      <c r="M129" s="442">
        <f t="shared" si="20"/>
        <v>-1</v>
      </c>
      <c r="N129" s="443">
        <f t="shared" si="21"/>
        <v>-1</v>
      </c>
      <c r="O129" s="442">
        <f t="shared" si="22"/>
        <v>-1</v>
      </c>
      <c r="P129" s="443">
        <f t="shared" si="23"/>
        <v>-1</v>
      </c>
    </row>
    <row r="130" spans="1:16">
      <c r="B130" s="3" t="s">
        <v>1387</v>
      </c>
      <c r="C130" s="3" t="str">
        <f>TeamC!B21</f>
        <v>Joland Romano Ducay</v>
      </c>
      <c r="D130" s="3" t="str">
        <f>TeamC!C21</f>
        <v>Jr</v>
      </c>
      <c r="E130" s="207">
        <f>TeamC!AH21</f>
        <v>0.54067080832351311</v>
      </c>
      <c r="F130" s="509">
        <f>TeamC!AI21</f>
        <v>6.1302378546650704</v>
      </c>
      <c r="I130" s="442">
        <f t="shared" si="16"/>
        <v>0.54067080832351311</v>
      </c>
      <c r="J130" s="443">
        <f t="shared" si="17"/>
        <v>6.1302378546650704</v>
      </c>
      <c r="K130" s="442">
        <f t="shared" si="18"/>
        <v>-1</v>
      </c>
      <c r="L130" s="443">
        <f t="shared" si="19"/>
        <v>-1</v>
      </c>
      <c r="M130" s="442">
        <f t="shared" si="20"/>
        <v>-1</v>
      </c>
      <c r="N130" s="443">
        <f t="shared" si="21"/>
        <v>-1</v>
      </c>
      <c r="O130" s="442">
        <f t="shared" si="22"/>
        <v>-1</v>
      </c>
      <c r="P130" s="443">
        <f t="shared" si="23"/>
        <v>-1</v>
      </c>
    </row>
    <row r="131" spans="1:16">
      <c r="B131" s="3" t="s">
        <v>1387</v>
      </c>
      <c r="C131" s="3" t="str">
        <f>TeamC!B22</f>
        <v>Jomari Ivan Fajardo</v>
      </c>
      <c r="D131" s="3" t="str">
        <f>TeamC!C22</f>
        <v>Mid</v>
      </c>
      <c r="E131" s="207">
        <f>TeamC!AH22</f>
        <v>0.49887788221777329</v>
      </c>
      <c r="F131" s="509">
        <f>TeamC!AI22</f>
        <v>9.1671169654934594</v>
      </c>
      <c r="I131" s="442">
        <f t="shared" si="16"/>
        <v>-1</v>
      </c>
      <c r="J131" s="443">
        <f t="shared" si="17"/>
        <v>-1</v>
      </c>
      <c r="K131" s="442">
        <f t="shared" si="18"/>
        <v>0.49887788221777329</v>
      </c>
      <c r="L131" s="443">
        <f t="shared" si="19"/>
        <v>9.1671169654934594</v>
      </c>
      <c r="M131" s="442">
        <f t="shared" si="20"/>
        <v>-1</v>
      </c>
      <c r="N131" s="443">
        <f t="shared" si="21"/>
        <v>-1</v>
      </c>
      <c r="O131" s="442">
        <f t="shared" si="22"/>
        <v>-1</v>
      </c>
      <c r="P131" s="443">
        <f t="shared" si="23"/>
        <v>-1</v>
      </c>
    </row>
    <row r="132" spans="1:16">
      <c r="B132" s="3" t="s">
        <v>1387</v>
      </c>
      <c r="C132" s="3" t="str">
        <f>TeamC!B23</f>
        <v>Junar Narisma</v>
      </c>
      <c r="D132" s="3" t="str">
        <f>TeamC!C23</f>
        <v>Mid</v>
      </c>
      <c r="E132" s="207">
        <f>TeamC!AH23</f>
        <v>0.88742476408772297</v>
      </c>
      <c r="F132" s="509">
        <f>TeamC!AI23</f>
        <v>4.4016285411537366</v>
      </c>
      <c r="I132" s="442">
        <f t="shared" si="16"/>
        <v>-1</v>
      </c>
      <c r="J132" s="443">
        <f t="shared" si="17"/>
        <v>-1</v>
      </c>
      <c r="K132" s="442">
        <f t="shared" si="18"/>
        <v>0.88742476408772297</v>
      </c>
      <c r="L132" s="443">
        <f t="shared" si="19"/>
        <v>4.4016285411537366</v>
      </c>
      <c r="M132" s="442">
        <f t="shared" si="20"/>
        <v>-1</v>
      </c>
      <c r="N132" s="443">
        <f t="shared" si="21"/>
        <v>-1</v>
      </c>
      <c r="O132" s="442">
        <f t="shared" si="22"/>
        <v>-1</v>
      </c>
      <c r="P132" s="443">
        <f t="shared" si="23"/>
        <v>-1</v>
      </c>
    </row>
    <row r="133" spans="1:16">
      <c r="A133" s="107" t="s">
        <v>1410</v>
      </c>
      <c r="B133" s="3" t="s">
        <v>1387</v>
      </c>
      <c r="C133" s="3" t="str">
        <f>TeamC!B24</f>
        <v>Marck Jason Piesta</v>
      </c>
      <c r="D133" s="3" t="str">
        <f>TeamC!C24</f>
        <v>Jr</v>
      </c>
      <c r="E133" s="472">
        <v>-1</v>
      </c>
      <c r="F133" s="509" t="str">
        <f>TeamC!AI24</f>
        <v xml:space="preserve"> </v>
      </c>
      <c r="I133" s="442">
        <f t="shared" si="16"/>
        <v>-1</v>
      </c>
      <c r="J133" s="443" t="str">
        <f t="shared" si="17"/>
        <v xml:space="preserve"> </v>
      </c>
      <c r="K133" s="442">
        <f t="shared" si="18"/>
        <v>-1</v>
      </c>
      <c r="L133" s="443">
        <f t="shared" si="19"/>
        <v>-1</v>
      </c>
      <c r="M133" s="442">
        <f t="shared" si="20"/>
        <v>-1</v>
      </c>
      <c r="N133" s="443">
        <f t="shared" si="21"/>
        <v>-1</v>
      </c>
      <c r="O133" s="442">
        <f t="shared" si="22"/>
        <v>-1</v>
      </c>
      <c r="P133" s="443">
        <f t="shared" si="23"/>
        <v>-1</v>
      </c>
    </row>
    <row r="134" spans="1:16">
      <c r="A134" s="107" t="s">
        <v>1410</v>
      </c>
      <c r="B134" s="3" t="s">
        <v>1387</v>
      </c>
      <c r="C134" s="3" t="str">
        <f>TeamC!B25</f>
        <v>Ralph Duane Geronimo</v>
      </c>
      <c r="D134" s="3" t="str">
        <f>TeamC!C25</f>
        <v>Jr</v>
      </c>
      <c r="E134" s="207">
        <f>TeamC!AH25</f>
        <v>0.60180921052631575</v>
      </c>
      <c r="F134" s="509">
        <f>TeamC!AI25</f>
        <v>16.949152542372882</v>
      </c>
      <c r="I134" s="442">
        <f t="shared" si="16"/>
        <v>0.60180921052631575</v>
      </c>
      <c r="J134" s="443">
        <f t="shared" si="17"/>
        <v>16.949152542372882</v>
      </c>
      <c r="K134" s="442">
        <f t="shared" si="18"/>
        <v>-1</v>
      </c>
      <c r="L134" s="443">
        <f t="shared" si="19"/>
        <v>-1</v>
      </c>
      <c r="M134" s="442">
        <f t="shared" si="20"/>
        <v>-1</v>
      </c>
      <c r="N134" s="443">
        <f t="shared" si="21"/>
        <v>-1</v>
      </c>
      <c r="O134" s="442">
        <f t="shared" si="22"/>
        <v>-1</v>
      </c>
      <c r="P134" s="443">
        <f t="shared" si="23"/>
        <v>-1</v>
      </c>
    </row>
    <row r="135" spans="1:16">
      <c r="A135" s="107" t="s">
        <v>1410</v>
      </c>
      <c r="B135" s="3" t="s">
        <v>1387</v>
      </c>
      <c r="C135" s="3" t="str">
        <f>TeamC!B26</f>
        <v>Raven Atienza</v>
      </c>
      <c r="D135" s="3" t="str">
        <f>TeamC!C26</f>
        <v>Jr</v>
      </c>
      <c r="E135" s="472">
        <v>-1</v>
      </c>
      <c r="F135" s="509" t="str">
        <f>TeamC!AI26</f>
        <v xml:space="preserve"> </v>
      </c>
      <c r="I135" s="442">
        <f t="shared" si="16"/>
        <v>-1</v>
      </c>
      <c r="J135" s="443" t="str">
        <f t="shared" si="17"/>
        <v xml:space="preserve"> </v>
      </c>
      <c r="K135" s="442">
        <f t="shared" si="18"/>
        <v>-1</v>
      </c>
      <c r="L135" s="443">
        <f t="shared" si="19"/>
        <v>-1</v>
      </c>
      <c r="M135" s="442">
        <f t="shared" si="20"/>
        <v>-1</v>
      </c>
      <c r="N135" s="443">
        <f t="shared" si="21"/>
        <v>-1</v>
      </c>
      <c r="O135" s="442">
        <f t="shared" si="22"/>
        <v>-1</v>
      </c>
      <c r="P135" s="443">
        <f t="shared" si="23"/>
        <v>-1</v>
      </c>
    </row>
    <row r="136" spans="1:16">
      <c r="B136" s="3" t="s">
        <v>1387</v>
      </c>
      <c r="C136" s="3" t="str">
        <f>TeamC!B27</f>
        <v>Sheila Catoy</v>
      </c>
      <c r="D136" s="3" t="str">
        <f>TeamC!C27</f>
        <v>TL</v>
      </c>
      <c r="E136" s="207">
        <f>TeamC!AH27</f>
        <v>0.56572362278244637</v>
      </c>
      <c r="F136" s="509">
        <f>TeamC!AI27</f>
        <v>4.166666666666667</v>
      </c>
      <c r="I136" s="442">
        <f t="shared" si="16"/>
        <v>-1</v>
      </c>
      <c r="J136" s="443">
        <f t="shared" si="17"/>
        <v>-1</v>
      </c>
      <c r="K136" s="442">
        <f t="shared" si="18"/>
        <v>-1</v>
      </c>
      <c r="L136" s="443">
        <f t="shared" si="19"/>
        <v>-1</v>
      </c>
      <c r="M136" s="442">
        <f t="shared" si="20"/>
        <v>-1</v>
      </c>
      <c r="N136" s="443">
        <f t="shared" si="21"/>
        <v>-1</v>
      </c>
      <c r="O136" s="442">
        <f t="shared" si="22"/>
        <v>0.56572362278244637</v>
      </c>
      <c r="P136" s="443">
        <f t="shared" si="23"/>
        <v>4.166666666666667</v>
      </c>
    </row>
    <row r="137" spans="1:16">
      <c r="B137" s="3" t="s">
        <v>1387</v>
      </c>
      <c r="C137" s="3" t="str">
        <f>TeamC!B28</f>
        <v>Charles Dalisay</v>
      </c>
      <c r="D137" s="3" t="str">
        <f>TeamC!C28</f>
        <v>Mid</v>
      </c>
      <c r="E137" s="207">
        <f>TeamC!AH28</f>
        <v>1.0328260869565218</v>
      </c>
      <c r="F137" s="509">
        <f>TeamC!AI28</f>
        <v>6.9845929564948221</v>
      </c>
      <c r="I137" s="442">
        <f t="shared" si="16"/>
        <v>-1</v>
      </c>
      <c r="J137" s="443">
        <f t="shared" si="17"/>
        <v>-1</v>
      </c>
      <c r="K137" s="442">
        <f t="shared" si="18"/>
        <v>1.0328260869565218</v>
      </c>
      <c r="L137" s="443">
        <f t="shared" si="19"/>
        <v>6.9845929564948221</v>
      </c>
      <c r="M137" s="442">
        <f t="shared" si="20"/>
        <v>-1</v>
      </c>
      <c r="N137" s="443">
        <f t="shared" si="21"/>
        <v>-1</v>
      </c>
      <c r="O137" s="442">
        <f t="shared" si="22"/>
        <v>-1</v>
      </c>
      <c r="P137" s="443">
        <f t="shared" si="23"/>
        <v>-1</v>
      </c>
    </row>
    <row r="138" spans="1:16">
      <c r="B138" s="3" t="s">
        <v>1388</v>
      </c>
      <c r="C138" s="3" t="str">
        <f>TeamD!B10</f>
        <v>Adrian Caleb Garon</v>
      </c>
      <c r="D138" s="3" t="str">
        <f>TeamD!C10</f>
        <v>Jr</v>
      </c>
      <c r="E138" s="207">
        <f>TeamD!AH11</f>
        <v>0.64225064042101399</v>
      </c>
      <c r="F138" s="509">
        <f>TeamD!AI11</f>
        <v>20.434671475393408</v>
      </c>
      <c r="I138" s="442">
        <f t="shared" si="16"/>
        <v>0.64225064042101399</v>
      </c>
      <c r="J138" s="443">
        <f t="shared" si="17"/>
        <v>20.434671475393408</v>
      </c>
      <c r="K138" s="442">
        <f t="shared" si="18"/>
        <v>-1</v>
      </c>
      <c r="L138" s="443">
        <f t="shared" si="19"/>
        <v>-1</v>
      </c>
      <c r="M138" s="442">
        <f t="shared" si="20"/>
        <v>-1</v>
      </c>
      <c r="N138" s="443">
        <f t="shared" si="21"/>
        <v>-1</v>
      </c>
      <c r="O138" s="442">
        <f t="shared" si="22"/>
        <v>-1</v>
      </c>
      <c r="P138" s="443">
        <f t="shared" si="23"/>
        <v>-1</v>
      </c>
    </row>
    <row r="139" spans="1:16">
      <c r="B139" s="3" t="s">
        <v>1388</v>
      </c>
      <c r="C139" s="3" t="str">
        <f>TeamD!B11</f>
        <v>Clarice Ivee Ragot</v>
      </c>
      <c r="D139" s="3" t="str">
        <f>TeamD!C11</f>
        <v>Jr</v>
      </c>
      <c r="E139" s="207">
        <f>TeamD!AH12</f>
        <v>1.1748578321750618</v>
      </c>
      <c r="F139" s="509">
        <f>TeamD!AI12</f>
        <v>7.3056754252736882</v>
      </c>
      <c r="I139" s="442">
        <f t="shared" si="16"/>
        <v>1.1748578321750618</v>
      </c>
      <c r="J139" s="443">
        <f t="shared" si="17"/>
        <v>7.3056754252736882</v>
      </c>
      <c r="K139" s="442">
        <f t="shared" si="18"/>
        <v>-1</v>
      </c>
      <c r="L139" s="443">
        <f t="shared" si="19"/>
        <v>-1</v>
      </c>
      <c r="M139" s="442">
        <f t="shared" si="20"/>
        <v>-1</v>
      </c>
      <c r="N139" s="443">
        <f t="shared" si="21"/>
        <v>-1</v>
      </c>
      <c r="O139" s="442">
        <f t="shared" si="22"/>
        <v>-1</v>
      </c>
      <c r="P139" s="443">
        <f t="shared" si="23"/>
        <v>-1</v>
      </c>
    </row>
    <row r="140" spans="1:16">
      <c r="B140" s="3" t="s">
        <v>1388</v>
      </c>
      <c r="C140" s="3" t="str">
        <f>TeamD!B12</f>
        <v>Elaine Rodillas</v>
      </c>
      <c r="D140" s="3" t="str">
        <f>TeamD!C12</f>
        <v>TL</v>
      </c>
      <c r="E140" s="207">
        <f>TeamD!AH13</f>
        <v>1.148235294117647</v>
      </c>
      <c r="F140" s="509">
        <f>TeamD!AI13</f>
        <v>27.148309729707517</v>
      </c>
      <c r="I140" s="442">
        <f t="shared" si="16"/>
        <v>-1</v>
      </c>
      <c r="J140" s="443">
        <f t="shared" si="17"/>
        <v>-1</v>
      </c>
      <c r="K140" s="442">
        <f t="shared" si="18"/>
        <v>-1</v>
      </c>
      <c r="L140" s="443">
        <f t="shared" si="19"/>
        <v>-1</v>
      </c>
      <c r="M140" s="442">
        <f t="shared" si="20"/>
        <v>-1</v>
      </c>
      <c r="N140" s="443">
        <f t="shared" si="21"/>
        <v>-1</v>
      </c>
      <c r="O140" s="442">
        <f t="shared" si="22"/>
        <v>1.148235294117647</v>
      </c>
      <c r="P140" s="443">
        <f t="shared" si="23"/>
        <v>27.148309729707517</v>
      </c>
    </row>
    <row r="141" spans="1:16">
      <c r="B141" s="3" t="s">
        <v>1388</v>
      </c>
      <c r="C141" s="3" t="str">
        <f>TeamD!B13</f>
        <v>Ferdinand Louie Carlos</v>
      </c>
      <c r="D141" s="3" t="str">
        <f>TeamD!C13</f>
        <v>Jr</v>
      </c>
      <c r="E141" s="207">
        <f>TeamD!AH14</f>
        <v>1.1060941317038879</v>
      </c>
      <c r="F141" s="509">
        <f>TeamD!AI14</f>
        <v>21.79249659783401</v>
      </c>
      <c r="I141" s="442">
        <f t="shared" si="16"/>
        <v>1.1060941317038879</v>
      </c>
      <c r="J141" s="443">
        <f t="shared" si="17"/>
        <v>21.79249659783401</v>
      </c>
      <c r="K141" s="442">
        <f t="shared" si="18"/>
        <v>-1</v>
      </c>
      <c r="L141" s="443">
        <f t="shared" si="19"/>
        <v>-1</v>
      </c>
      <c r="M141" s="442">
        <f t="shared" si="20"/>
        <v>-1</v>
      </c>
      <c r="N141" s="443">
        <f t="shared" si="21"/>
        <v>-1</v>
      </c>
      <c r="O141" s="442">
        <f t="shared" si="22"/>
        <v>-1</v>
      </c>
      <c r="P141" s="443">
        <f t="shared" si="23"/>
        <v>-1</v>
      </c>
    </row>
    <row r="142" spans="1:16">
      <c r="B142" s="3" t="s">
        <v>1388</v>
      </c>
      <c r="C142" s="3" t="str">
        <f>TeamD!B14</f>
        <v xml:space="preserve">Jaysie Ben Sanchez </v>
      </c>
      <c r="D142" s="3" t="str">
        <f>TeamD!C14</f>
        <v>Mid</v>
      </c>
      <c r="E142" s="207">
        <f>TeamD!AH15</f>
        <v>0.59741503341364388</v>
      </c>
      <c r="F142" s="509">
        <f>TeamD!AI15</f>
        <v>14.645838236612294</v>
      </c>
      <c r="I142" s="442">
        <f t="shared" si="16"/>
        <v>-1</v>
      </c>
      <c r="J142" s="443">
        <f t="shared" si="17"/>
        <v>-1</v>
      </c>
      <c r="K142" s="442">
        <f t="shared" si="18"/>
        <v>0.59741503341364388</v>
      </c>
      <c r="L142" s="443">
        <f t="shared" si="19"/>
        <v>14.645838236612294</v>
      </c>
      <c r="M142" s="442">
        <f t="shared" si="20"/>
        <v>-1</v>
      </c>
      <c r="N142" s="443">
        <f t="shared" si="21"/>
        <v>-1</v>
      </c>
      <c r="O142" s="442">
        <f t="shared" si="22"/>
        <v>-1</v>
      </c>
      <c r="P142" s="443">
        <f t="shared" si="23"/>
        <v>-1</v>
      </c>
    </row>
    <row r="143" spans="1:16">
      <c r="A143" s="107" t="s">
        <v>1410</v>
      </c>
      <c r="B143" s="3" t="s">
        <v>1388</v>
      </c>
      <c r="C143" s="3" t="str">
        <f>TeamD!B15</f>
        <v>Joey Tago</v>
      </c>
      <c r="D143" s="3" t="str">
        <f>TeamD!C15</f>
        <v>Jr</v>
      </c>
      <c r="E143" s="207">
        <f>TeamD!AH15</f>
        <v>0.59741503341364388</v>
      </c>
      <c r="F143" s="509">
        <f>TeamD!AI15</f>
        <v>14.645838236612294</v>
      </c>
      <c r="I143" s="442">
        <f t="shared" si="16"/>
        <v>0.59741503341364388</v>
      </c>
      <c r="J143" s="443">
        <f t="shared" si="17"/>
        <v>14.645838236612294</v>
      </c>
      <c r="K143" s="442">
        <f t="shared" si="18"/>
        <v>-1</v>
      </c>
      <c r="L143" s="443">
        <f t="shared" si="19"/>
        <v>-1</v>
      </c>
      <c r="M143" s="442">
        <f t="shared" si="20"/>
        <v>-1</v>
      </c>
      <c r="N143" s="443">
        <f t="shared" si="21"/>
        <v>-1</v>
      </c>
      <c r="O143" s="442">
        <f t="shared" si="22"/>
        <v>-1</v>
      </c>
      <c r="P143" s="443">
        <f t="shared" si="23"/>
        <v>-1</v>
      </c>
    </row>
    <row r="144" spans="1:16">
      <c r="B144" s="3" t="s">
        <v>1388</v>
      </c>
      <c r="C144" s="3" t="str">
        <f>TeamD!B16</f>
        <v>John Cortez</v>
      </c>
      <c r="D144" s="3" t="str">
        <f>TeamD!C16</f>
        <v>Mid</v>
      </c>
      <c r="E144" s="207">
        <f>TeamD!AH17</f>
        <v>0.68850290420144633</v>
      </c>
      <c r="F144" s="509">
        <f>TeamD!AI17</f>
        <v>7.996119756709156</v>
      </c>
      <c r="I144" s="442">
        <f t="shared" si="16"/>
        <v>-1</v>
      </c>
      <c r="J144" s="443">
        <f t="shared" si="17"/>
        <v>-1</v>
      </c>
      <c r="K144" s="442">
        <f t="shared" si="18"/>
        <v>0.68850290420144633</v>
      </c>
      <c r="L144" s="443">
        <f t="shared" si="19"/>
        <v>7.996119756709156</v>
      </c>
      <c r="M144" s="442">
        <f t="shared" si="20"/>
        <v>-1</v>
      </c>
      <c r="N144" s="443">
        <f t="shared" si="21"/>
        <v>-1</v>
      </c>
      <c r="O144" s="442">
        <f t="shared" si="22"/>
        <v>-1</v>
      </c>
      <c r="P144" s="443">
        <f t="shared" si="23"/>
        <v>-1</v>
      </c>
    </row>
    <row r="145" spans="1:16">
      <c r="B145" s="3" t="s">
        <v>1388</v>
      </c>
      <c r="C145" s="3" t="str">
        <f>TeamD!B17</f>
        <v>Jose Fernando Ismael</v>
      </c>
      <c r="D145" s="3" t="str">
        <f>TeamD!C17</f>
        <v>Jr</v>
      </c>
      <c r="E145" s="207">
        <f>TeamD!AH18</f>
        <v>0.98462265834076701</v>
      </c>
      <c r="F145" s="509">
        <f>TeamD!AI18</f>
        <v>17.179030707120596</v>
      </c>
      <c r="I145" s="442">
        <f t="shared" si="16"/>
        <v>0.98462265834076701</v>
      </c>
      <c r="J145" s="443">
        <f t="shared" si="17"/>
        <v>17.179030707120596</v>
      </c>
      <c r="K145" s="442">
        <f t="shared" si="18"/>
        <v>-1</v>
      </c>
      <c r="L145" s="443">
        <f t="shared" si="19"/>
        <v>-1</v>
      </c>
      <c r="M145" s="442">
        <f t="shared" si="20"/>
        <v>-1</v>
      </c>
      <c r="N145" s="443">
        <f t="shared" si="21"/>
        <v>-1</v>
      </c>
      <c r="O145" s="442">
        <f t="shared" si="22"/>
        <v>-1</v>
      </c>
      <c r="P145" s="443">
        <f t="shared" si="23"/>
        <v>-1</v>
      </c>
    </row>
    <row r="146" spans="1:16">
      <c r="B146" s="3" t="s">
        <v>1388</v>
      </c>
      <c r="C146" s="3" t="str">
        <f>TeamD!B18</f>
        <v>Josue Tabia</v>
      </c>
      <c r="D146" s="3" t="str">
        <f>TeamD!C18</f>
        <v>Jr</v>
      </c>
      <c r="E146" s="207">
        <f>TeamD!AH19</f>
        <v>0.6602669697249528</v>
      </c>
      <c r="F146" s="509">
        <f>TeamD!AI19</f>
        <v>26.918309947239656</v>
      </c>
      <c r="I146" s="442">
        <f t="shared" si="16"/>
        <v>0.6602669697249528</v>
      </c>
      <c r="J146" s="443">
        <f t="shared" si="17"/>
        <v>26.918309947239656</v>
      </c>
      <c r="K146" s="442">
        <f t="shared" si="18"/>
        <v>-1</v>
      </c>
      <c r="L146" s="443">
        <f t="shared" si="19"/>
        <v>-1</v>
      </c>
      <c r="M146" s="442">
        <f t="shared" si="20"/>
        <v>-1</v>
      </c>
      <c r="N146" s="443">
        <f t="shared" si="21"/>
        <v>-1</v>
      </c>
      <c r="O146" s="442">
        <f t="shared" si="22"/>
        <v>-1</v>
      </c>
      <c r="P146" s="443">
        <f t="shared" si="23"/>
        <v>-1</v>
      </c>
    </row>
    <row r="147" spans="1:16">
      <c r="B147" s="3" t="s">
        <v>1388</v>
      </c>
      <c r="C147" s="3" t="str">
        <f>TeamD!B19</f>
        <v>Kate Dipon</v>
      </c>
      <c r="D147" s="3" t="str">
        <f>TeamD!C19</f>
        <v>Jr</v>
      </c>
      <c r="E147" s="207">
        <f>TeamD!AH20</f>
        <v>0.87951142478920252</v>
      </c>
      <c r="F147" s="509">
        <f>TeamD!AI20</f>
        <v>49.56150094160234</v>
      </c>
      <c r="I147" s="442">
        <f t="shared" ref="I147:I178" si="24">IFERROR(VLOOKUP($I$80,$D147:$F147,2,FALSE),-1)</f>
        <v>0.87951142478920252</v>
      </c>
      <c r="J147" s="443">
        <f t="shared" ref="J147:J178" si="25">IFERROR(VLOOKUP($I$80,$D147:$F147,3,FALSE),-1)</f>
        <v>49.56150094160234</v>
      </c>
      <c r="K147" s="442">
        <f t="shared" ref="K147:K178" si="26">IFERROR(VLOOKUP($K$80,$D147:$F147,2,FALSE),-1)</f>
        <v>-1</v>
      </c>
      <c r="L147" s="443">
        <f t="shared" ref="L147:L178" si="27">IFERROR(VLOOKUP($K$80,$D147:$F147,3,FALSE),-1)</f>
        <v>-1</v>
      </c>
      <c r="M147" s="442">
        <f t="shared" ref="M147:M178" si="28">IFERROR(VLOOKUP($M$80,$D147:$F147,2,FALSE),-1)</f>
        <v>-1</v>
      </c>
      <c r="N147" s="443">
        <f t="shared" ref="N147:N178" si="29">IFERROR(VLOOKUP($M$80,$D147:$F147,3,FALSE),-1)</f>
        <v>-1</v>
      </c>
      <c r="O147" s="442">
        <f t="shared" ref="O147:O178" si="30">IFERROR(VLOOKUP($O$80,$D147:$F147,2,FALSE),-1)</f>
        <v>-1</v>
      </c>
      <c r="P147" s="443">
        <f t="shared" ref="P147:P178" si="31">IFERROR(VLOOKUP($O$80,$D147:$F147,3,FALSE),-1)</f>
        <v>-1</v>
      </c>
    </row>
    <row r="148" spans="1:16">
      <c r="B148" s="3" t="s">
        <v>1388</v>
      </c>
      <c r="C148" s="3" t="str">
        <f>TeamD!B20</f>
        <v>Kelly Budol</v>
      </c>
      <c r="D148" s="3" t="str">
        <f>TeamD!C20</f>
        <v>Sr</v>
      </c>
      <c r="E148" s="207">
        <f>TeamD!AH21</f>
        <v>0.54780181005068551</v>
      </c>
      <c r="F148" s="509">
        <f>TeamD!AI21</f>
        <v>16.522213960405242</v>
      </c>
      <c r="I148" s="442">
        <f t="shared" si="24"/>
        <v>-1</v>
      </c>
      <c r="J148" s="443">
        <f t="shared" si="25"/>
        <v>-1</v>
      </c>
      <c r="K148" s="442">
        <f t="shared" si="26"/>
        <v>-1</v>
      </c>
      <c r="L148" s="443">
        <f t="shared" si="27"/>
        <v>-1</v>
      </c>
      <c r="M148" s="442">
        <f t="shared" si="28"/>
        <v>0.54780181005068551</v>
      </c>
      <c r="N148" s="443">
        <f t="shared" si="29"/>
        <v>16.522213960405242</v>
      </c>
      <c r="O148" s="442">
        <f t="shared" si="30"/>
        <v>-1</v>
      </c>
      <c r="P148" s="443">
        <f t="shared" si="31"/>
        <v>-1</v>
      </c>
    </row>
    <row r="149" spans="1:16">
      <c r="B149" s="3" t="s">
        <v>1388</v>
      </c>
      <c r="C149" s="3" t="str">
        <f>TeamD!B21</f>
        <v>Kevin Yu</v>
      </c>
      <c r="D149" s="3" t="str">
        <f>TeamD!C21</f>
        <v>Mid</v>
      </c>
      <c r="E149" s="207">
        <f>TeamD!AH22</f>
        <v>0.86386029411764698</v>
      </c>
      <c r="F149" s="509">
        <f>TeamD!AI22</f>
        <v>58.895251541634451</v>
      </c>
      <c r="I149" s="442">
        <f t="shared" si="24"/>
        <v>-1</v>
      </c>
      <c r="J149" s="443">
        <f t="shared" si="25"/>
        <v>-1</v>
      </c>
      <c r="K149" s="442">
        <f t="shared" si="26"/>
        <v>0.86386029411764698</v>
      </c>
      <c r="L149" s="443">
        <f t="shared" si="27"/>
        <v>58.895251541634451</v>
      </c>
      <c r="M149" s="442">
        <f t="shared" si="28"/>
        <v>-1</v>
      </c>
      <c r="N149" s="443">
        <f t="shared" si="29"/>
        <v>-1</v>
      </c>
      <c r="O149" s="442">
        <f t="shared" si="30"/>
        <v>-1</v>
      </c>
      <c r="P149" s="443">
        <f t="shared" si="31"/>
        <v>-1</v>
      </c>
    </row>
    <row r="150" spans="1:16">
      <c r="B150" s="3" t="s">
        <v>1388</v>
      </c>
      <c r="C150" s="3" t="str">
        <f>TeamD!B22</f>
        <v>Marco Reanzares</v>
      </c>
      <c r="D150" s="3" t="str">
        <f>TeamD!C22</f>
        <v>TL</v>
      </c>
      <c r="E150" s="207">
        <f>TeamD!AH23</f>
        <v>0.70923959985908236</v>
      </c>
      <c r="F150" s="509">
        <f>TeamD!AI23</f>
        <v>22.003634585239702</v>
      </c>
      <c r="I150" s="442">
        <f t="shared" si="24"/>
        <v>-1</v>
      </c>
      <c r="J150" s="443">
        <f t="shared" si="25"/>
        <v>-1</v>
      </c>
      <c r="K150" s="442">
        <f t="shared" si="26"/>
        <v>-1</v>
      </c>
      <c r="L150" s="443">
        <f t="shared" si="27"/>
        <v>-1</v>
      </c>
      <c r="M150" s="442">
        <f t="shared" si="28"/>
        <v>-1</v>
      </c>
      <c r="N150" s="443">
        <f t="shared" si="29"/>
        <v>-1</v>
      </c>
      <c r="O150" s="442">
        <f t="shared" si="30"/>
        <v>0.70923959985908236</v>
      </c>
      <c r="P150" s="443">
        <f t="shared" si="31"/>
        <v>22.003634585239702</v>
      </c>
    </row>
    <row r="151" spans="1:16">
      <c r="B151" s="3" t="s">
        <v>1388</v>
      </c>
      <c r="C151" s="3" t="str">
        <f>TeamD!B23</f>
        <v>Ramon Lorenzo Lotivio</v>
      </c>
      <c r="D151" s="3" t="str">
        <f>TeamD!C23</f>
        <v>Jr</v>
      </c>
      <c r="E151" s="207">
        <f>TeamD!AH24</f>
        <v>0.87757878997009431</v>
      </c>
      <c r="F151" s="509">
        <f>TeamD!AI24</f>
        <v>23.966916990756136</v>
      </c>
      <c r="I151" s="442">
        <f t="shared" si="24"/>
        <v>0.87757878997009431</v>
      </c>
      <c r="J151" s="443">
        <f t="shared" si="25"/>
        <v>23.966916990756136</v>
      </c>
      <c r="K151" s="442">
        <f t="shared" si="26"/>
        <v>-1</v>
      </c>
      <c r="L151" s="443">
        <f t="shared" si="27"/>
        <v>-1</v>
      </c>
      <c r="M151" s="442">
        <f t="shared" si="28"/>
        <v>-1</v>
      </c>
      <c r="N151" s="443">
        <f t="shared" si="29"/>
        <v>-1</v>
      </c>
      <c r="O151" s="442">
        <f t="shared" si="30"/>
        <v>-1</v>
      </c>
      <c r="P151" s="443">
        <f t="shared" si="31"/>
        <v>-1</v>
      </c>
    </row>
    <row r="152" spans="1:16">
      <c r="B152" s="3" t="s">
        <v>1388</v>
      </c>
      <c r="C152" s="3" t="str">
        <f>TeamD!B24</f>
        <v>Randy Dominguez</v>
      </c>
      <c r="D152" s="3" t="str">
        <f>TeamD!C24</f>
        <v>Jr</v>
      </c>
      <c r="E152" s="207">
        <v>-1</v>
      </c>
      <c r="F152" s="509">
        <f>TeamD!AI25</f>
        <v>0</v>
      </c>
      <c r="I152" s="442">
        <f t="shared" si="24"/>
        <v>-1</v>
      </c>
      <c r="J152" s="443">
        <f t="shared" si="25"/>
        <v>0</v>
      </c>
      <c r="K152" s="442">
        <f t="shared" si="26"/>
        <v>-1</v>
      </c>
      <c r="L152" s="443">
        <f t="shared" si="27"/>
        <v>-1</v>
      </c>
      <c r="M152" s="442">
        <f t="shared" si="28"/>
        <v>-1</v>
      </c>
      <c r="N152" s="443">
        <f t="shared" si="29"/>
        <v>-1</v>
      </c>
      <c r="O152" s="442">
        <f t="shared" si="30"/>
        <v>-1</v>
      </c>
      <c r="P152" s="443">
        <f t="shared" si="31"/>
        <v>-1</v>
      </c>
    </row>
    <row r="153" spans="1:16">
      <c r="A153" s="107" t="s">
        <v>1410</v>
      </c>
      <c r="B153" s="3" t="s">
        <v>1388</v>
      </c>
      <c r="C153" s="3" t="str">
        <f>TeamD!B25</f>
        <v>Raven Vince Jarangan</v>
      </c>
      <c r="D153" s="3" t="str">
        <f>TeamD!C25</f>
        <v>Jr</v>
      </c>
      <c r="E153" s="207">
        <f>TeamD!AH25</f>
        <v>0</v>
      </c>
      <c r="F153" s="509">
        <f>TeamD!AI25</f>
        <v>0</v>
      </c>
      <c r="I153" s="442">
        <f t="shared" si="24"/>
        <v>0</v>
      </c>
      <c r="J153" s="443">
        <f t="shared" si="25"/>
        <v>0</v>
      </c>
      <c r="K153" s="442">
        <f t="shared" si="26"/>
        <v>-1</v>
      </c>
      <c r="L153" s="443">
        <f t="shared" si="27"/>
        <v>-1</v>
      </c>
      <c r="M153" s="442">
        <f t="shared" si="28"/>
        <v>-1</v>
      </c>
      <c r="N153" s="443">
        <f t="shared" si="29"/>
        <v>-1</v>
      </c>
      <c r="O153" s="442">
        <f t="shared" si="30"/>
        <v>-1</v>
      </c>
      <c r="P153" s="443">
        <f t="shared" si="31"/>
        <v>-1</v>
      </c>
    </row>
    <row r="154" spans="1:16">
      <c r="A154" s="107" t="s">
        <v>1410</v>
      </c>
      <c r="B154" s="3" t="s">
        <v>1388</v>
      </c>
      <c r="C154" s="3" t="str">
        <f>TeamD!B26</f>
        <v>Rchiebal Alberr Villafranca</v>
      </c>
      <c r="D154" s="3" t="str">
        <f>TeamD!C26</f>
        <v>Jr</v>
      </c>
      <c r="E154" s="207">
        <f>TeamD!AH26</f>
        <v>0.43516767408717871</v>
      </c>
      <c r="F154" s="509">
        <f>TeamD!AI26</f>
        <v>51.36507936507936</v>
      </c>
      <c r="I154" s="442">
        <f t="shared" si="24"/>
        <v>0.43516767408717871</v>
      </c>
      <c r="J154" s="443">
        <f t="shared" si="25"/>
        <v>51.36507936507936</v>
      </c>
      <c r="K154" s="442">
        <f t="shared" si="26"/>
        <v>-1</v>
      </c>
      <c r="L154" s="443">
        <f t="shared" si="27"/>
        <v>-1</v>
      </c>
      <c r="M154" s="442">
        <f t="shared" si="28"/>
        <v>-1</v>
      </c>
      <c r="N154" s="443">
        <f t="shared" si="29"/>
        <v>-1</v>
      </c>
      <c r="O154" s="442">
        <f t="shared" si="30"/>
        <v>-1</v>
      </c>
      <c r="P154" s="443">
        <f t="shared" si="31"/>
        <v>-1</v>
      </c>
    </row>
    <row r="155" spans="1:16">
      <c r="A155" s="107" t="s">
        <v>1410</v>
      </c>
      <c r="B155" s="3" t="s">
        <v>1388</v>
      </c>
      <c r="C155" s="3" t="str">
        <f>TeamD!B27</f>
        <v>William Wallace Bautista</v>
      </c>
      <c r="D155" s="3" t="str">
        <f>TeamD!C27</f>
        <v>Jr</v>
      </c>
      <c r="E155" s="207">
        <f>TeamD!AH27</f>
        <v>0.56691332294780572</v>
      </c>
      <c r="F155" s="509">
        <f>TeamD!AI27</f>
        <v>23.025287071287362</v>
      </c>
      <c r="I155" s="442">
        <f t="shared" si="24"/>
        <v>0.56691332294780572</v>
      </c>
      <c r="J155" s="443">
        <f t="shared" si="25"/>
        <v>23.025287071287362</v>
      </c>
      <c r="K155" s="442">
        <f t="shared" si="26"/>
        <v>-1</v>
      </c>
      <c r="L155" s="443">
        <f t="shared" si="27"/>
        <v>-1</v>
      </c>
      <c r="M155" s="442">
        <f t="shared" si="28"/>
        <v>-1</v>
      </c>
      <c r="N155" s="443">
        <f t="shared" si="29"/>
        <v>-1</v>
      </c>
      <c r="O155" s="442">
        <f t="shared" si="30"/>
        <v>-1</v>
      </c>
      <c r="P155" s="443">
        <f t="shared" si="31"/>
        <v>-1</v>
      </c>
    </row>
    <row r="156" spans="1:16">
      <c r="B156" s="3" t="s">
        <v>1388</v>
      </c>
      <c r="C156" s="3" t="str">
        <f>TeamD!B28</f>
        <v>Torres, R-Jay Carl</v>
      </c>
      <c r="D156" s="3" t="str">
        <f>TeamD!C28</f>
        <v>Sr</v>
      </c>
      <c r="E156" s="472">
        <v>-1</v>
      </c>
      <c r="F156" s="509">
        <f>TeamD!AI29</f>
        <v>0</v>
      </c>
      <c r="I156" s="442">
        <f t="shared" si="24"/>
        <v>-1</v>
      </c>
      <c r="J156" s="443">
        <f t="shared" si="25"/>
        <v>-1</v>
      </c>
      <c r="K156" s="442">
        <f t="shared" si="26"/>
        <v>-1</v>
      </c>
      <c r="L156" s="443">
        <f t="shared" si="27"/>
        <v>-1</v>
      </c>
      <c r="M156" s="442">
        <f t="shared" si="28"/>
        <v>-1</v>
      </c>
      <c r="N156" s="443">
        <f t="shared" si="29"/>
        <v>0</v>
      </c>
      <c r="O156" s="442">
        <f t="shared" si="30"/>
        <v>-1</v>
      </c>
      <c r="P156" s="443">
        <f t="shared" si="31"/>
        <v>-1</v>
      </c>
    </row>
    <row r="157" spans="1:16">
      <c r="B157" s="3" t="s">
        <v>1389</v>
      </c>
      <c r="C157" s="3" t="str">
        <f>TeamE!B10</f>
        <v>Adrian Paul Santos</v>
      </c>
      <c r="D157" s="3" t="str">
        <f>TeamE!C10</f>
        <v>Mid</v>
      </c>
      <c r="E157" s="207">
        <f>TeamE!AH10</f>
        <v>1.1494379185629187</v>
      </c>
      <c r="F157" s="509">
        <f>TeamE!AI10</f>
        <v>20.166985947723202</v>
      </c>
      <c r="I157" s="442">
        <f t="shared" si="24"/>
        <v>-1</v>
      </c>
      <c r="J157" s="443">
        <f t="shared" si="25"/>
        <v>-1</v>
      </c>
      <c r="K157" s="442">
        <f t="shared" si="26"/>
        <v>1.1494379185629187</v>
      </c>
      <c r="L157" s="443">
        <f t="shared" si="27"/>
        <v>20.166985947723202</v>
      </c>
      <c r="M157" s="442">
        <f t="shared" si="28"/>
        <v>-1</v>
      </c>
      <c r="N157" s="443">
        <f t="shared" si="29"/>
        <v>-1</v>
      </c>
      <c r="O157" s="442">
        <f t="shared" si="30"/>
        <v>-1</v>
      </c>
      <c r="P157" s="443">
        <f t="shared" si="31"/>
        <v>-1</v>
      </c>
    </row>
    <row r="158" spans="1:16">
      <c r="B158" s="3" t="s">
        <v>1389</v>
      </c>
      <c r="C158" s="3" t="str">
        <f>TeamE!B11</f>
        <v>Anthony Ryan Austria</v>
      </c>
      <c r="D158" s="3" t="str">
        <f>TeamE!C11</f>
        <v>Sr</v>
      </c>
      <c r="E158" s="207">
        <f>TeamE!AH11</f>
        <v>2.8401685505852172</v>
      </c>
      <c r="F158" s="509">
        <f>TeamE!AI11</f>
        <v>14.90670873877832</v>
      </c>
      <c r="I158" s="442">
        <f t="shared" si="24"/>
        <v>-1</v>
      </c>
      <c r="J158" s="443">
        <f t="shared" si="25"/>
        <v>-1</v>
      </c>
      <c r="K158" s="442">
        <f t="shared" si="26"/>
        <v>-1</v>
      </c>
      <c r="L158" s="443">
        <f t="shared" si="27"/>
        <v>-1</v>
      </c>
      <c r="M158" s="442">
        <f t="shared" si="28"/>
        <v>2.8401685505852172</v>
      </c>
      <c r="N158" s="443">
        <f t="shared" si="29"/>
        <v>14.90670873877832</v>
      </c>
      <c r="O158" s="442">
        <f t="shared" si="30"/>
        <v>-1</v>
      </c>
      <c r="P158" s="443">
        <f t="shared" si="31"/>
        <v>-1</v>
      </c>
    </row>
    <row r="159" spans="1:16">
      <c r="B159" s="3" t="s">
        <v>1389</v>
      </c>
      <c r="C159" s="3" t="str">
        <f>TeamE!B12</f>
        <v>Christian Batang</v>
      </c>
      <c r="D159" s="3" t="str">
        <f>TeamE!C12</f>
        <v>Jr</v>
      </c>
      <c r="E159" s="207">
        <f>TeamE!AH12</f>
        <v>1.0881597860134444</v>
      </c>
      <c r="F159" s="509">
        <f>TeamE!AI12</f>
        <v>7.1684040606367798</v>
      </c>
      <c r="I159" s="442">
        <f t="shared" si="24"/>
        <v>1.0881597860134444</v>
      </c>
      <c r="J159" s="443">
        <f t="shared" si="25"/>
        <v>7.1684040606367798</v>
      </c>
      <c r="K159" s="442">
        <f t="shared" si="26"/>
        <v>-1</v>
      </c>
      <c r="L159" s="443">
        <f t="shared" si="27"/>
        <v>-1</v>
      </c>
      <c r="M159" s="442">
        <f t="shared" si="28"/>
        <v>-1</v>
      </c>
      <c r="N159" s="443">
        <f t="shared" si="29"/>
        <v>-1</v>
      </c>
      <c r="O159" s="442">
        <f t="shared" si="30"/>
        <v>-1</v>
      </c>
      <c r="P159" s="443">
        <f t="shared" si="31"/>
        <v>-1</v>
      </c>
    </row>
    <row r="160" spans="1:16">
      <c r="B160" s="3" t="s">
        <v>1389</v>
      </c>
      <c r="C160" s="3" t="str">
        <f>TeamE!B13</f>
        <v>Ermilo Lallo</v>
      </c>
      <c r="D160" s="3" t="str">
        <f>TeamE!C13</f>
        <v>Jr</v>
      </c>
      <c r="E160" s="207">
        <f>TeamE!AH13</f>
        <v>1.1523026315789473</v>
      </c>
      <c r="F160" s="509">
        <f>TeamE!AI13</f>
        <v>13.404825737265416</v>
      </c>
      <c r="I160" s="442">
        <f t="shared" si="24"/>
        <v>1.1523026315789473</v>
      </c>
      <c r="J160" s="443">
        <f t="shared" si="25"/>
        <v>13.404825737265416</v>
      </c>
      <c r="K160" s="442">
        <f t="shared" si="26"/>
        <v>-1</v>
      </c>
      <c r="L160" s="443">
        <f t="shared" si="27"/>
        <v>-1</v>
      </c>
      <c r="M160" s="442">
        <f t="shared" si="28"/>
        <v>-1</v>
      </c>
      <c r="N160" s="443">
        <f t="shared" si="29"/>
        <v>-1</v>
      </c>
      <c r="O160" s="442">
        <f t="shared" si="30"/>
        <v>-1</v>
      </c>
      <c r="P160" s="443">
        <f t="shared" si="31"/>
        <v>-1</v>
      </c>
    </row>
    <row r="161" spans="1:16">
      <c r="B161" s="3" t="s">
        <v>1389</v>
      </c>
      <c r="C161" s="3" t="str">
        <f>TeamE!B14</f>
        <v>Hilario Catral</v>
      </c>
      <c r="D161" s="3" t="str">
        <f>TeamE!C14</f>
        <v>Sr</v>
      </c>
      <c r="E161" s="207">
        <f>TeamE!AH14</f>
        <v>1.9696916971916969</v>
      </c>
      <c r="F161" s="509">
        <f>TeamE!AI14</f>
        <v>23.983792368158959</v>
      </c>
      <c r="I161" s="442">
        <f t="shared" si="24"/>
        <v>-1</v>
      </c>
      <c r="J161" s="443">
        <f t="shared" si="25"/>
        <v>-1</v>
      </c>
      <c r="K161" s="442">
        <f t="shared" si="26"/>
        <v>-1</v>
      </c>
      <c r="L161" s="443">
        <f t="shared" si="27"/>
        <v>-1</v>
      </c>
      <c r="M161" s="442">
        <f t="shared" si="28"/>
        <v>1.9696916971916969</v>
      </c>
      <c r="N161" s="443">
        <f t="shared" si="29"/>
        <v>23.983792368158959</v>
      </c>
      <c r="O161" s="442">
        <f t="shared" si="30"/>
        <v>-1</v>
      </c>
      <c r="P161" s="443">
        <f t="shared" si="31"/>
        <v>-1</v>
      </c>
    </row>
    <row r="162" spans="1:16">
      <c r="B162" s="3" t="s">
        <v>1389</v>
      </c>
      <c r="C162" s="3" t="str">
        <f>TeamE!B15</f>
        <v>Joe Marie Payos</v>
      </c>
      <c r="D162" s="3" t="str">
        <f>TeamE!C15</f>
        <v>Jr</v>
      </c>
      <c r="E162" s="207">
        <f>TeamE!AH15</f>
        <v>1.3650643500643502</v>
      </c>
      <c r="F162" s="509">
        <f>TeamE!AI15</f>
        <v>14.193565205221059</v>
      </c>
      <c r="I162" s="442">
        <f t="shared" si="24"/>
        <v>1.3650643500643502</v>
      </c>
      <c r="J162" s="443">
        <f t="shared" si="25"/>
        <v>14.193565205221059</v>
      </c>
      <c r="K162" s="442">
        <f t="shared" si="26"/>
        <v>-1</v>
      </c>
      <c r="L162" s="443">
        <f t="shared" si="27"/>
        <v>-1</v>
      </c>
      <c r="M162" s="442">
        <f t="shared" si="28"/>
        <v>-1</v>
      </c>
      <c r="N162" s="443">
        <f t="shared" si="29"/>
        <v>-1</v>
      </c>
      <c r="O162" s="442">
        <f t="shared" si="30"/>
        <v>-1</v>
      </c>
      <c r="P162" s="443">
        <f t="shared" si="31"/>
        <v>-1</v>
      </c>
    </row>
    <row r="163" spans="1:16">
      <c r="B163" s="3" t="s">
        <v>1389</v>
      </c>
      <c r="C163" s="3" t="str">
        <f>TeamE!B16</f>
        <v>John Dennies Cerbito</v>
      </c>
      <c r="D163" s="3" t="str">
        <f>TeamE!C16</f>
        <v>Jr</v>
      </c>
      <c r="E163" s="207">
        <f>TeamE!AH16</f>
        <v>0.87974048789222137</v>
      </c>
      <c r="F163" s="509">
        <f>TeamE!AI16</f>
        <v>22.917713274953897</v>
      </c>
      <c r="I163" s="442">
        <f t="shared" si="24"/>
        <v>0.87974048789222137</v>
      </c>
      <c r="J163" s="443">
        <f t="shared" si="25"/>
        <v>22.917713274953897</v>
      </c>
      <c r="K163" s="442">
        <f t="shared" si="26"/>
        <v>-1</v>
      </c>
      <c r="L163" s="443">
        <f t="shared" si="27"/>
        <v>-1</v>
      </c>
      <c r="M163" s="442">
        <f t="shared" si="28"/>
        <v>-1</v>
      </c>
      <c r="N163" s="443">
        <f t="shared" si="29"/>
        <v>-1</v>
      </c>
      <c r="O163" s="442">
        <f t="shared" si="30"/>
        <v>-1</v>
      </c>
      <c r="P163" s="443">
        <f t="shared" si="31"/>
        <v>-1</v>
      </c>
    </row>
    <row r="164" spans="1:16">
      <c r="B164" s="3" t="s">
        <v>1389</v>
      </c>
      <c r="C164" s="3" t="str">
        <f>TeamE!B17</f>
        <v>John Philip Atijera</v>
      </c>
      <c r="D164" s="3" t="str">
        <f>TeamE!C17</f>
        <v>TL</v>
      </c>
      <c r="E164" s="207">
        <f>TeamE!AH17</f>
        <v>1.0666666666666667</v>
      </c>
      <c r="F164" s="509">
        <f>TeamE!AI17</f>
        <v>2</v>
      </c>
      <c r="I164" s="442">
        <f t="shared" si="24"/>
        <v>-1</v>
      </c>
      <c r="J164" s="443">
        <f t="shared" si="25"/>
        <v>-1</v>
      </c>
      <c r="K164" s="442">
        <f t="shared" si="26"/>
        <v>-1</v>
      </c>
      <c r="L164" s="443">
        <f t="shared" si="27"/>
        <v>-1</v>
      </c>
      <c r="M164" s="442">
        <f t="shared" si="28"/>
        <v>-1</v>
      </c>
      <c r="N164" s="443">
        <f t="shared" si="29"/>
        <v>-1</v>
      </c>
      <c r="O164" s="442">
        <f t="shared" si="30"/>
        <v>1.0666666666666667</v>
      </c>
      <c r="P164" s="443">
        <f t="shared" si="31"/>
        <v>2</v>
      </c>
    </row>
    <row r="165" spans="1:16">
      <c r="B165" s="3" t="s">
        <v>1389</v>
      </c>
      <c r="C165" s="3" t="str">
        <f>TeamE!B18</f>
        <v>Joseph Baldorado</v>
      </c>
      <c r="D165" s="3" t="str">
        <f>TeamE!C18</f>
        <v>Jr</v>
      </c>
      <c r="E165" s="207">
        <f>TeamE!AH18</f>
        <v>1.1925416398732338</v>
      </c>
      <c r="F165" s="509">
        <f>TeamE!AI18</f>
        <v>26.136183335336614</v>
      </c>
      <c r="I165" s="442">
        <f t="shared" si="24"/>
        <v>1.1925416398732338</v>
      </c>
      <c r="J165" s="443">
        <f t="shared" si="25"/>
        <v>26.136183335336614</v>
      </c>
      <c r="K165" s="442">
        <f t="shared" si="26"/>
        <v>-1</v>
      </c>
      <c r="L165" s="443">
        <f t="shared" si="27"/>
        <v>-1</v>
      </c>
      <c r="M165" s="442">
        <f t="shared" si="28"/>
        <v>-1</v>
      </c>
      <c r="N165" s="443">
        <f t="shared" si="29"/>
        <v>-1</v>
      </c>
      <c r="O165" s="442">
        <f t="shared" si="30"/>
        <v>-1</v>
      </c>
      <c r="P165" s="443">
        <f t="shared" si="31"/>
        <v>-1</v>
      </c>
    </row>
    <row r="166" spans="1:16">
      <c r="B166" s="3" t="s">
        <v>1389</v>
      </c>
      <c r="C166" s="3" t="str">
        <f>TeamE!B19</f>
        <v>Marlon Barnuevo</v>
      </c>
      <c r="D166" s="3" t="str">
        <f>TeamE!C19</f>
        <v>Jr</v>
      </c>
      <c r="E166" s="207">
        <f>TeamE!AH19</f>
        <v>1.1669492373093273</v>
      </c>
      <c r="F166" s="509">
        <f>TeamE!AI19</f>
        <v>15.970453387671931</v>
      </c>
      <c r="I166" s="442">
        <f t="shared" si="24"/>
        <v>1.1669492373093273</v>
      </c>
      <c r="J166" s="443">
        <f t="shared" si="25"/>
        <v>15.970453387671931</v>
      </c>
      <c r="K166" s="442">
        <f t="shared" si="26"/>
        <v>-1</v>
      </c>
      <c r="L166" s="443">
        <f t="shared" si="27"/>
        <v>-1</v>
      </c>
      <c r="M166" s="442">
        <f t="shared" si="28"/>
        <v>-1</v>
      </c>
      <c r="N166" s="443">
        <f t="shared" si="29"/>
        <v>-1</v>
      </c>
      <c r="O166" s="442">
        <f t="shared" si="30"/>
        <v>-1</v>
      </c>
      <c r="P166" s="443">
        <f t="shared" si="31"/>
        <v>-1</v>
      </c>
    </row>
    <row r="167" spans="1:16">
      <c r="B167" s="3" t="s">
        <v>1389</v>
      </c>
      <c r="C167" s="3" t="str">
        <f>TeamE!B20</f>
        <v>Mary Grace Estoperez</v>
      </c>
      <c r="D167" s="3" t="str">
        <f>TeamE!C20</f>
        <v>Jr</v>
      </c>
      <c r="E167" s="207">
        <f>TeamE!AH20</f>
        <v>2.3590806185487896</v>
      </c>
      <c r="F167" s="509">
        <f>TeamE!AI20</f>
        <v>22.727272727272727</v>
      </c>
      <c r="I167" s="442">
        <f t="shared" si="24"/>
        <v>2.3590806185487896</v>
      </c>
      <c r="J167" s="443">
        <f t="shared" si="25"/>
        <v>22.727272727272727</v>
      </c>
      <c r="K167" s="442">
        <f t="shared" si="26"/>
        <v>-1</v>
      </c>
      <c r="L167" s="443">
        <f t="shared" si="27"/>
        <v>-1</v>
      </c>
      <c r="M167" s="442">
        <f t="shared" si="28"/>
        <v>-1</v>
      </c>
      <c r="N167" s="443">
        <f t="shared" si="29"/>
        <v>-1</v>
      </c>
      <c r="O167" s="442">
        <f t="shared" si="30"/>
        <v>-1</v>
      </c>
      <c r="P167" s="443">
        <f t="shared" si="31"/>
        <v>-1</v>
      </c>
    </row>
    <row r="168" spans="1:16">
      <c r="B168" s="3" t="s">
        <v>1389</v>
      </c>
      <c r="C168" s="3" t="str">
        <f>TeamE!B21</f>
        <v>Peter Joshua Jacinto</v>
      </c>
      <c r="D168" s="3" t="str">
        <f>TeamE!C21</f>
        <v>Jr</v>
      </c>
      <c r="E168" s="207">
        <f>TeamE!AH21</f>
        <v>1.1062966059689223</v>
      </c>
      <c r="F168" s="509">
        <f>TeamE!AI21</f>
        <v>15.668332161192914</v>
      </c>
      <c r="I168" s="442">
        <f t="shared" si="24"/>
        <v>1.1062966059689223</v>
      </c>
      <c r="J168" s="443">
        <f t="shared" si="25"/>
        <v>15.668332161192914</v>
      </c>
      <c r="K168" s="442">
        <f t="shared" si="26"/>
        <v>-1</v>
      </c>
      <c r="L168" s="443">
        <f t="shared" si="27"/>
        <v>-1</v>
      </c>
      <c r="M168" s="442">
        <f t="shared" si="28"/>
        <v>-1</v>
      </c>
      <c r="N168" s="443">
        <f t="shared" si="29"/>
        <v>-1</v>
      </c>
      <c r="O168" s="442">
        <f t="shared" si="30"/>
        <v>-1</v>
      </c>
      <c r="P168" s="443">
        <f t="shared" si="31"/>
        <v>-1</v>
      </c>
    </row>
    <row r="169" spans="1:16">
      <c r="A169" s="107" t="s">
        <v>1410</v>
      </c>
      <c r="B169" s="3" t="s">
        <v>1389</v>
      </c>
      <c r="C169" s="3" t="str">
        <f>TeamE!B22</f>
        <v>Remon Jay Cordero</v>
      </c>
      <c r="D169" s="3" t="str">
        <f>TeamE!C22</f>
        <v>Jr</v>
      </c>
      <c r="E169" s="207">
        <f>TeamE!AH22</f>
        <v>0.66047758284600389</v>
      </c>
      <c r="F169" s="509">
        <f>TeamE!AI22</f>
        <v>49.628422064093179</v>
      </c>
      <c r="I169" s="442">
        <f t="shared" si="24"/>
        <v>0.66047758284600389</v>
      </c>
      <c r="J169" s="443">
        <f t="shared" si="25"/>
        <v>49.628422064093179</v>
      </c>
      <c r="K169" s="442">
        <f t="shared" si="26"/>
        <v>-1</v>
      </c>
      <c r="L169" s="443">
        <f t="shared" si="27"/>
        <v>-1</v>
      </c>
      <c r="M169" s="442">
        <f t="shared" si="28"/>
        <v>-1</v>
      </c>
      <c r="N169" s="443">
        <f t="shared" si="29"/>
        <v>-1</v>
      </c>
      <c r="O169" s="442">
        <f t="shared" si="30"/>
        <v>-1</v>
      </c>
      <c r="P169" s="443">
        <f t="shared" si="31"/>
        <v>-1</v>
      </c>
    </row>
    <row r="170" spans="1:16">
      <c r="B170" s="3" t="s">
        <v>1389</v>
      </c>
      <c r="C170" s="3" t="str">
        <f>TeamE!B23</f>
        <v>Ronie Gadiane</v>
      </c>
      <c r="D170" s="3" t="str">
        <f>TeamE!C23</f>
        <v>Sr</v>
      </c>
      <c r="E170" s="207">
        <f>TeamE!AH23</f>
        <v>0.80259259259259252</v>
      </c>
      <c r="F170" s="509" t="str">
        <f>TeamE!AI23</f>
        <v xml:space="preserve"> </v>
      </c>
      <c r="I170" s="442">
        <f t="shared" si="24"/>
        <v>-1</v>
      </c>
      <c r="J170" s="443">
        <f t="shared" si="25"/>
        <v>-1</v>
      </c>
      <c r="K170" s="442">
        <f t="shared" si="26"/>
        <v>-1</v>
      </c>
      <c r="L170" s="443">
        <f t="shared" si="27"/>
        <v>-1</v>
      </c>
      <c r="M170" s="442">
        <f t="shared" si="28"/>
        <v>0.80259259259259252</v>
      </c>
      <c r="N170" s="443" t="str">
        <f t="shared" si="29"/>
        <v xml:space="preserve"> </v>
      </c>
      <c r="O170" s="442">
        <f t="shared" si="30"/>
        <v>-1</v>
      </c>
      <c r="P170" s="443">
        <f t="shared" si="31"/>
        <v>-1</v>
      </c>
    </row>
    <row r="171" spans="1:16">
      <c r="B171" s="3" t="s">
        <v>1389</v>
      </c>
      <c r="C171" s="3" t="str">
        <f>TeamE!B24</f>
        <v>Ruzzel Hapon</v>
      </c>
      <c r="D171" s="3" t="str">
        <f>TeamE!C24</f>
        <v>Jr</v>
      </c>
      <c r="E171" s="207">
        <f>TeamE!AH24</f>
        <v>1.1164186507936507</v>
      </c>
      <c r="F171" s="509">
        <f>TeamE!AI24</f>
        <v>25.891222061082125</v>
      </c>
      <c r="I171" s="442">
        <f t="shared" si="24"/>
        <v>1.1164186507936507</v>
      </c>
      <c r="J171" s="443">
        <f t="shared" si="25"/>
        <v>25.891222061082125</v>
      </c>
      <c r="K171" s="442">
        <f t="shared" si="26"/>
        <v>-1</v>
      </c>
      <c r="L171" s="443">
        <f t="shared" si="27"/>
        <v>-1</v>
      </c>
      <c r="M171" s="442">
        <f t="shared" si="28"/>
        <v>-1</v>
      </c>
      <c r="N171" s="443">
        <f t="shared" si="29"/>
        <v>-1</v>
      </c>
      <c r="O171" s="442">
        <f t="shared" si="30"/>
        <v>-1</v>
      </c>
      <c r="P171" s="443">
        <f t="shared" si="31"/>
        <v>-1</v>
      </c>
    </row>
    <row r="172" spans="1:16">
      <c r="B172" s="3" t="s">
        <v>1389</v>
      </c>
      <c r="C172" s="3" t="str">
        <f>TeamE!B25</f>
        <v>Trister Bryan Profugo</v>
      </c>
      <c r="D172" s="3" t="str">
        <f>TeamE!C25</f>
        <v>Jr</v>
      </c>
      <c r="E172" s="207">
        <f>TeamE!AH25</f>
        <v>1.0625776397515527</v>
      </c>
      <c r="F172" s="509">
        <f>TeamE!AI25</f>
        <v>15.201731896399366</v>
      </c>
      <c r="I172" s="442">
        <f t="shared" si="24"/>
        <v>1.0625776397515527</v>
      </c>
      <c r="J172" s="443">
        <f t="shared" si="25"/>
        <v>15.201731896399366</v>
      </c>
      <c r="K172" s="442">
        <f t="shared" si="26"/>
        <v>-1</v>
      </c>
      <c r="L172" s="443">
        <f t="shared" si="27"/>
        <v>-1</v>
      </c>
      <c r="M172" s="442">
        <f t="shared" si="28"/>
        <v>-1</v>
      </c>
      <c r="N172" s="443">
        <f t="shared" si="29"/>
        <v>-1</v>
      </c>
      <c r="O172" s="442">
        <f t="shared" si="30"/>
        <v>-1</v>
      </c>
      <c r="P172" s="443">
        <f t="shared" si="31"/>
        <v>-1</v>
      </c>
    </row>
    <row r="173" spans="1:16">
      <c r="B173" s="3" t="s">
        <v>1389</v>
      </c>
      <c r="C173" s="3" t="str">
        <f>TeamE!B26</f>
        <v>Zachary Go</v>
      </c>
      <c r="D173" s="3" t="str">
        <f>TeamE!C26</f>
        <v>Mid</v>
      </c>
      <c r="E173" s="207">
        <f>TeamE!AH26</f>
        <v>0.714010444036971</v>
      </c>
      <c r="F173" s="509">
        <f>TeamE!AI26</f>
        <v>2.2421524663677133</v>
      </c>
      <c r="I173" s="442">
        <f t="shared" si="24"/>
        <v>-1</v>
      </c>
      <c r="J173" s="443">
        <f t="shared" si="25"/>
        <v>-1</v>
      </c>
      <c r="K173" s="442">
        <f t="shared" si="26"/>
        <v>0.714010444036971</v>
      </c>
      <c r="L173" s="443">
        <f t="shared" si="27"/>
        <v>2.2421524663677133</v>
      </c>
      <c r="M173" s="442">
        <f t="shared" si="28"/>
        <v>-1</v>
      </c>
      <c r="N173" s="443">
        <f t="shared" si="29"/>
        <v>-1</v>
      </c>
      <c r="O173" s="442">
        <f t="shared" si="30"/>
        <v>-1</v>
      </c>
      <c r="P173" s="443">
        <f t="shared" si="31"/>
        <v>-1</v>
      </c>
    </row>
    <row r="174" spans="1:16">
      <c r="B174" s="3" t="s">
        <v>1390</v>
      </c>
      <c r="C174" s="3" t="str">
        <f>TeamF!B10</f>
        <v>Chun Yee, Joey Tan</v>
      </c>
      <c r="D174" s="3" t="str">
        <f>TeamF!C10</f>
        <v>Jr</v>
      </c>
      <c r="E174" s="207">
        <f>TeamF!AH10</f>
        <v>0.68978599554870734</v>
      </c>
      <c r="F174" s="509">
        <f>TeamF!AI10</f>
        <v>46.980108838312901</v>
      </c>
      <c r="I174" s="442">
        <f t="shared" si="24"/>
        <v>0.68978599554870734</v>
      </c>
      <c r="J174" s="443">
        <f t="shared" si="25"/>
        <v>46.980108838312901</v>
      </c>
      <c r="K174" s="442">
        <f t="shared" si="26"/>
        <v>-1</v>
      </c>
      <c r="L174" s="443">
        <f t="shared" si="27"/>
        <v>-1</v>
      </c>
      <c r="M174" s="442">
        <f t="shared" si="28"/>
        <v>-1</v>
      </c>
      <c r="N174" s="443">
        <f t="shared" si="29"/>
        <v>-1</v>
      </c>
      <c r="O174" s="442">
        <f t="shared" si="30"/>
        <v>-1</v>
      </c>
      <c r="P174" s="443">
        <f t="shared" si="31"/>
        <v>-1</v>
      </c>
    </row>
    <row r="175" spans="1:16">
      <c r="B175" s="3" t="s">
        <v>1390</v>
      </c>
      <c r="C175" s="3" t="str">
        <f>TeamF!B11</f>
        <v>De Bei, Koh</v>
      </c>
      <c r="D175" s="3" t="str">
        <f>TeamF!C11</f>
        <v>Mid</v>
      </c>
      <c r="E175" s="207">
        <f>TeamF!AH11</f>
        <v>0.7568567026194144</v>
      </c>
      <c r="F175" s="509">
        <f>TeamF!AI11</f>
        <v>25.409530900967983</v>
      </c>
      <c r="I175" s="442">
        <f t="shared" si="24"/>
        <v>-1</v>
      </c>
      <c r="J175" s="443">
        <f t="shared" si="25"/>
        <v>-1</v>
      </c>
      <c r="K175" s="442">
        <f t="shared" si="26"/>
        <v>0.7568567026194144</v>
      </c>
      <c r="L175" s="443">
        <f t="shared" si="27"/>
        <v>25.409530900967983</v>
      </c>
      <c r="M175" s="442">
        <f t="shared" si="28"/>
        <v>-1</v>
      </c>
      <c r="N175" s="443">
        <f t="shared" si="29"/>
        <v>-1</v>
      </c>
      <c r="O175" s="442">
        <f t="shared" si="30"/>
        <v>-1</v>
      </c>
      <c r="P175" s="443">
        <f t="shared" si="31"/>
        <v>-1</v>
      </c>
    </row>
    <row r="176" spans="1:16">
      <c r="A176" s="107" t="s">
        <v>1410</v>
      </c>
      <c r="B176" s="3" t="s">
        <v>1390</v>
      </c>
      <c r="C176" s="3" t="str">
        <f>TeamF!B12</f>
        <v>Hor Guang Yao</v>
      </c>
      <c r="D176" s="3" t="str">
        <f>TeamF!C12</f>
        <v>Jr</v>
      </c>
      <c r="E176" s="472">
        <v>-1</v>
      </c>
      <c r="F176" s="509">
        <v>0</v>
      </c>
      <c r="I176" s="442">
        <v>-1</v>
      </c>
      <c r="J176" s="443">
        <f>IFERROR(VLOOKUP($I$80,$D176:$F176,3,FALSE),-1)</f>
        <v>0</v>
      </c>
      <c r="K176" s="442">
        <f t="shared" si="26"/>
        <v>-1</v>
      </c>
      <c r="L176" s="443">
        <f t="shared" si="27"/>
        <v>-1</v>
      </c>
      <c r="M176" s="442">
        <f t="shared" si="28"/>
        <v>-1</v>
      </c>
      <c r="N176" s="443">
        <f t="shared" si="29"/>
        <v>-1</v>
      </c>
      <c r="O176" s="442">
        <f t="shared" si="30"/>
        <v>-1</v>
      </c>
      <c r="P176" s="443">
        <f t="shared" si="31"/>
        <v>-1</v>
      </c>
    </row>
    <row r="177" spans="2:16">
      <c r="B177" s="3" t="s">
        <v>1390</v>
      </c>
      <c r="C177" s="3" t="str">
        <f>TeamF!B13</f>
        <v>Ng Jing Wen</v>
      </c>
      <c r="D177" s="3" t="str">
        <f>TeamF!C13</f>
        <v>Jr</v>
      </c>
      <c r="E177" s="207">
        <f>TeamF!AH13</f>
        <v>0.70211535814252279</v>
      </c>
      <c r="F177" s="509">
        <f>TeamF!AI13</f>
        <v>24.544447262078471</v>
      </c>
      <c r="I177" s="442">
        <f t="shared" si="24"/>
        <v>0.70211535814252279</v>
      </c>
      <c r="J177" s="443">
        <f t="shared" si="25"/>
        <v>24.544447262078471</v>
      </c>
      <c r="K177" s="442">
        <f t="shared" si="26"/>
        <v>-1</v>
      </c>
      <c r="L177" s="443">
        <f t="shared" si="27"/>
        <v>-1</v>
      </c>
      <c r="M177" s="442">
        <f t="shared" si="28"/>
        <v>-1</v>
      </c>
      <c r="N177" s="443">
        <f t="shared" si="29"/>
        <v>-1</v>
      </c>
      <c r="O177" s="442">
        <f t="shared" si="30"/>
        <v>-1</v>
      </c>
      <c r="P177" s="443">
        <f t="shared" si="31"/>
        <v>-1</v>
      </c>
    </row>
    <row r="178" spans="2:16">
      <c r="B178" s="3" t="s">
        <v>1390</v>
      </c>
      <c r="C178" s="3" t="str">
        <f>TeamF!B14</f>
        <v>Teo Jun Jie</v>
      </c>
      <c r="D178" s="3" t="str">
        <f>TeamF!C14</f>
        <v>Mid</v>
      </c>
      <c r="E178" s="207">
        <f>TeamF!AH14</f>
        <v>0.99570494864612502</v>
      </c>
      <c r="F178" s="509">
        <f>TeamF!AI14</f>
        <v>13.741829664908474</v>
      </c>
      <c r="I178" s="442">
        <f t="shared" si="24"/>
        <v>-1</v>
      </c>
      <c r="J178" s="443">
        <f t="shared" si="25"/>
        <v>-1</v>
      </c>
      <c r="K178" s="442">
        <f t="shared" si="26"/>
        <v>0.99570494864612502</v>
      </c>
      <c r="L178" s="443">
        <f t="shared" si="27"/>
        <v>13.741829664908474</v>
      </c>
      <c r="M178" s="442">
        <f t="shared" si="28"/>
        <v>-1</v>
      </c>
      <c r="N178" s="443">
        <f t="shared" si="29"/>
        <v>-1</v>
      </c>
      <c r="O178" s="442">
        <f t="shared" si="30"/>
        <v>-1</v>
      </c>
      <c r="P178" s="443">
        <f t="shared" si="31"/>
        <v>-1</v>
      </c>
    </row>
  </sheetData>
  <autoFilter ref="A81:AI178" xr:uid="{074BC9F2-9ADF-4175-BE68-6AF9D4659CF1}"/>
  <mergeCells count="25">
    <mergeCell ref="O58:P58"/>
    <mergeCell ref="Q58:V58"/>
    <mergeCell ref="O68:P68"/>
    <mergeCell ref="Q68:V68"/>
    <mergeCell ref="O48:P48"/>
    <mergeCell ref="Q48:V48"/>
    <mergeCell ref="O32:P32"/>
    <mergeCell ref="Q32:V32"/>
    <mergeCell ref="O40:P40"/>
    <mergeCell ref="Q40:V40"/>
    <mergeCell ref="E24:J24"/>
    <mergeCell ref="O24:P24"/>
    <mergeCell ref="Q24:V24"/>
    <mergeCell ref="Q3:V3"/>
    <mergeCell ref="O13:P13"/>
    <mergeCell ref="Q13:V13"/>
    <mergeCell ref="AA3:AB3"/>
    <mergeCell ref="AC3:AH3"/>
    <mergeCell ref="AA13:AB13"/>
    <mergeCell ref="AC13:AH13"/>
    <mergeCell ref="C3:D3"/>
    <mergeCell ref="E3:J3"/>
    <mergeCell ref="C13:D13"/>
    <mergeCell ref="E13:J13"/>
    <mergeCell ref="O3:P3"/>
  </mergeCells>
  <phoneticPr fontId="10"/>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B2EBA-C860-4FB6-AEC0-BCAA1E2CC3EA}">
  <sheetPr filterMode="1"/>
  <dimension ref="A1:BZ162"/>
  <sheetViews>
    <sheetView topLeftCell="A10" zoomScale="115" zoomScaleNormal="115" workbookViewId="0">
      <pane xSplit="4" topLeftCell="J2" activePane="topRight" state="frozen"/>
      <selection pane="topRight" activeCell="J75" sqref="J75"/>
      <selection activeCell="A52" sqref="A52"/>
    </sheetView>
  </sheetViews>
  <sheetFormatPr defaultRowHeight="12" customHeight="1"/>
  <cols>
    <col min="1" max="1" width="2.7109375" customWidth="1"/>
    <col min="2" max="2" width="3.140625" bestFit="1" customWidth="1"/>
    <col min="3" max="3" width="5.140625" bestFit="1" customWidth="1"/>
    <col min="4" max="4" width="22" style="24" bestFit="1" customWidth="1"/>
    <col min="5" max="5" width="11.7109375" style="52" customWidth="1"/>
    <col min="6" max="6" width="7.7109375" customWidth="1"/>
    <col min="7" max="7" width="7.140625" bestFit="1" customWidth="1"/>
    <col min="8" max="8" width="7.140625" customWidth="1"/>
    <col min="9" max="9" width="11.140625" customWidth="1"/>
    <col min="10" max="10" width="10" customWidth="1"/>
    <col min="11" max="11" width="13.85546875" hidden="1" customWidth="1"/>
    <col min="12" max="12" width="12.7109375" hidden="1" customWidth="1"/>
    <col min="13" max="13" width="13.7109375" customWidth="1"/>
    <col min="14" max="14" width="12" customWidth="1"/>
    <col min="15" max="15" width="38.85546875" customWidth="1"/>
    <col min="16" max="16" width="4.7109375" hidden="1" customWidth="1"/>
    <col min="17" max="18" width="10.140625" customWidth="1"/>
    <col min="19" max="19" width="11.28515625" style="52" customWidth="1"/>
    <col min="20" max="20" width="7.42578125" customWidth="1"/>
    <col min="21" max="21" width="6.5703125" hidden="1" customWidth="1"/>
    <col min="22" max="22" width="9.5703125" hidden="1" customWidth="1"/>
    <col min="23" max="23" width="10.140625" hidden="1" customWidth="1"/>
    <col min="24" max="24" width="14.7109375" hidden="1" customWidth="1"/>
    <col min="25" max="48" width="6.42578125" hidden="1" customWidth="1"/>
    <col min="51" max="61" width="5" customWidth="1"/>
    <col min="62" max="62" width="3.140625" bestFit="1" customWidth="1"/>
    <col min="63" max="63" width="5.28515625" bestFit="1" customWidth="1"/>
    <col min="64" max="64" width="5.5703125" bestFit="1" customWidth="1"/>
    <col min="65" max="66" width="7.28515625" bestFit="1" customWidth="1"/>
    <col min="67" max="67" width="7.7109375" bestFit="1" customWidth="1"/>
    <col min="68" max="68" width="5.85546875" customWidth="1"/>
    <col min="69" max="69" width="3.140625" bestFit="1" customWidth="1"/>
    <col min="70" max="70" width="5.28515625" bestFit="1" customWidth="1"/>
    <col min="71" max="74" width="5.140625" customWidth="1"/>
    <col min="75" max="75" width="3.140625" bestFit="1" customWidth="1"/>
  </cols>
  <sheetData>
    <row r="1" spans="2:78" ht="11.1">
      <c r="K1" s="181">
        <v>45322</v>
      </c>
      <c r="L1" s="181"/>
      <c r="M1" s="181"/>
      <c r="U1" s="109" t="s">
        <v>1411</v>
      </c>
    </row>
    <row r="2" spans="2:78" ht="48" customHeight="1">
      <c r="D2" s="357"/>
      <c r="E2" s="193"/>
      <c r="F2">
        <f>SUM(G4:G59)</f>
        <v>331</v>
      </c>
      <c r="G2">
        <f>SUM(G60:G95)</f>
        <v>249</v>
      </c>
      <c r="H2" s="294">
        <f>AVERAGE(H4:H59)</f>
        <v>0.89079506802721065</v>
      </c>
      <c r="I2" s="294">
        <f>AVERAGE(H60:H95)</f>
        <v>0.87805335097001758</v>
      </c>
      <c r="K2">
        <f>F2-O2</f>
        <v>291</v>
      </c>
      <c r="L2">
        <f>G2-Q2</f>
        <v>217</v>
      </c>
      <c r="O2">
        <f>SUM(Q4:R59)</f>
        <v>40</v>
      </c>
      <c r="Q2">
        <f>SUM(Q60:R95)</f>
        <v>32</v>
      </c>
      <c r="S2" s="275">
        <v>45331</v>
      </c>
      <c r="U2" s="602" t="s">
        <v>1412</v>
      </c>
      <c r="V2" s="539" t="s">
        <v>1413</v>
      </c>
      <c r="W2" s="539" t="s">
        <v>1414</v>
      </c>
      <c r="X2" s="539" t="s">
        <v>1415</v>
      </c>
      <c r="Y2" s="537" t="s">
        <v>1416</v>
      </c>
      <c r="Z2" s="537"/>
      <c r="AA2" s="537"/>
      <c r="AB2" s="537"/>
      <c r="AC2" s="537"/>
      <c r="AD2" s="547" t="s">
        <v>1417</v>
      </c>
      <c r="AE2" s="548"/>
      <c r="AF2" s="548"/>
      <c r="AG2" s="548"/>
      <c r="AH2" s="549"/>
      <c r="AI2" s="550" t="s">
        <v>1418</v>
      </c>
      <c r="AJ2" s="551"/>
      <c r="AX2" s="538" t="s">
        <v>1419</v>
      </c>
      <c r="AY2" s="538"/>
      <c r="AZ2" s="538"/>
      <c r="BA2" s="538"/>
      <c r="BB2" s="538"/>
      <c r="BC2" s="538"/>
      <c r="BD2" s="538"/>
      <c r="BE2" s="538"/>
      <c r="BF2" s="538"/>
      <c r="BG2" s="538"/>
      <c r="BH2" s="538"/>
      <c r="BI2" s="538"/>
      <c r="BJ2" s="538"/>
      <c r="BK2" s="538"/>
      <c r="BL2" s="538"/>
      <c r="BM2" s="538"/>
      <c r="BN2" s="538"/>
      <c r="BO2" s="538"/>
      <c r="BP2" s="538"/>
      <c r="BQ2" s="538"/>
      <c r="BR2" s="538"/>
      <c r="BS2" s="538"/>
      <c r="BT2" s="538"/>
      <c r="BU2" s="538"/>
      <c r="BV2" s="538"/>
      <c r="BW2" s="538"/>
      <c r="BX2" s="538"/>
      <c r="BY2" s="542"/>
    </row>
    <row r="3" spans="2:78" ht="37.5" customHeight="1">
      <c r="B3" s="27" t="s">
        <v>1420</v>
      </c>
      <c r="C3" s="166" t="s">
        <v>1381</v>
      </c>
      <c r="D3" s="166" t="s">
        <v>1421</v>
      </c>
      <c r="E3" s="173" t="s">
        <v>1422</v>
      </c>
      <c r="F3" s="173" t="s">
        <v>1423</v>
      </c>
      <c r="G3" s="173" t="s">
        <v>1424</v>
      </c>
      <c r="H3" s="173" t="s">
        <v>1425</v>
      </c>
      <c r="I3" s="173" t="s">
        <v>212</v>
      </c>
      <c r="J3" s="173" t="s">
        <v>1426</v>
      </c>
      <c r="K3" s="173" t="s">
        <v>1427</v>
      </c>
      <c r="L3" s="173" t="s">
        <v>1428</v>
      </c>
      <c r="M3" s="173" t="s">
        <v>1429</v>
      </c>
      <c r="N3" s="173" t="s">
        <v>1430</v>
      </c>
      <c r="O3" s="173" t="s">
        <v>1431</v>
      </c>
      <c r="P3" s="27"/>
      <c r="Q3" s="173" t="s">
        <v>1432</v>
      </c>
      <c r="R3" s="173" t="s">
        <v>1433</v>
      </c>
      <c r="S3" s="193" t="s">
        <v>1434</v>
      </c>
      <c r="T3" s="193"/>
      <c r="U3" s="536"/>
      <c r="V3" s="540"/>
      <c r="W3" s="540"/>
      <c r="X3" s="540"/>
      <c r="Y3" s="167">
        <v>45314</v>
      </c>
      <c r="Z3" s="167">
        <v>45315</v>
      </c>
      <c r="AA3" s="167">
        <v>45316</v>
      </c>
      <c r="AB3" s="167">
        <v>45317</v>
      </c>
      <c r="AC3" s="167">
        <v>45318</v>
      </c>
      <c r="AD3" s="169">
        <v>45320</v>
      </c>
      <c r="AE3" s="169">
        <v>45321</v>
      </c>
      <c r="AF3" s="169">
        <v>45322</v>
      </c>
      <c r="AG3" s="169">
        <v>45323</v>
      </c>
      <c r="AH3" s="169">
        <v>45324</v>
      </c>
      <c r="AI3" s="170">
        <v>45329</v>
      </c>
      <c r="AJ3" s="170">
        <v>45331</v>
      </c>
      <c r="AX3" s="267"/>
      <c r="AY3" s="540" t="s">
        <v>1435</v>
      </c>
      <c r="AZ3" s="545"/>
      <c r="BA3" s="545"/>
      <c r="BB3" s="545"/>
      <c r="BC3" s="545"/>
      <c r="BD3" s="545"/>
      <c r="BE3" s="545"/>
      <c r="BF3" s="545"/>
      <c r="BG3" s="545"/>
      <c r="BH3" s="545"/>
      <c r="BI3" s="545"/>
      <c r="BJ3" s="109"/>
      <c r="BK3" s="535" t="s">
        <v>1436</v>
      </c>
      <c r="BL3" s="535"/>
      <c r="BM3" s="535"/>
      <c r="BN3" s="535"/>
      <c r="BO3" s="535"/>
      <c r="BP3" s="535"/>
      <c r="BQ3" s="109"/>
      <c r="BR3" s="535" t="s">
        <v>1437</v>
      </c>
      <c r="BS3" s="535"/>
      <c r="BT3" s="535"/>
      <c r="BU3" s="535"/>
      <c r="BV3" s="535"/>
      <c r="BX3" s="543" t="s">
        <v>1438</v>
      </c>
      <c r="BY3" s="544"/>
    </row>
    <row r="4" spans="2:78" ht="12.6" hidden="1">
      <c r="B4" s="27">
        <f t="shared" ref="B4:B35" si="0">ROW()-3</f>
        <v>1</v>
      </c>
      <c r="C4" s="28" t="s">
        <v>1385</v>
      </c>
      <c r="D4" s="27" t="s">
        <v>1439</v>
      </c>
      <c r="E4" s="28"/>
      <c r="F4" s="182">
        <v>45328</v>
      </c>
      <c r="G4" s="27">
        <f>TeamA!E10</f>
        <v>5</v>
      </c>
      <c r="H4" s="269">
        <f>(G4-Q4)/G4</f>
        <v>0.8</v>
      </c>
      <c r="I4" s="28" t="str">
        <f>TeamA!AN10</f>
        <v>◎</v>
      </c>
      <c r="J4" s="28" t="str">
        <f>TeamA!AO10</f>
        <v>○</v>
      </c>
      <c r="K4" s="182">
        <v>45322</v>
      </c>
      <c r="L4" s="182">
        <v>45327</v>
      </c>
      <c r="M4" s="182" t="s">
        <v>230</v>
      </c>
      <c r="N4" s="182">
        <v>45328</v>
      </c>
      <c r="O4" s="401" t="s">
        <v>1440</v>
      </c>
      <c r="P4" s="182">
        <v>45314</v>
      </c>
      <c r="Q4" s="27">
        <v>1</v>
      </c>
      <c r="R4" s="27">
        <v>0</v>
      </c>
      <c r="S4" s="268">
        <f ca="1">IF(N4&lt;TODAY(),0,NETWORKDAYS(TODAY(),N4,$S$2))</f>
        <v>0</v>
      </c>
      <c r="U4" s="187" t="s">
        <v>178</v>
      </c>
      <c r="V4" s="27">
        <f>COUNTIFS($I$4:$I$100,$P$27,$K$4:$K$100,$P29)</f>
        <v>0</v>
      </c>
      <c r="W4" s="3">
        <f>COUNTIFS($I$4:$I$100,$P$27,$K$4:$K$100,$P31)</f>
        <v>0</v>
      </c>
      <c r="X4" s="3">
        <f>COUNTIFS($I$4:$I$100,P27,$K$4:$K$100,P30)</f>
        <v>0</v>
      </c>
      <c r="Y4" s="168">
        <f>COUNTIFS($I$4:$I$100,$P27,$K$4:$K$100,$P$4)</f>
        <v>0</v>
      </c>
      <c r="Z4" s="176">
        <f>COUNTIFS($I$4:$I$100,$P27,$K$4:$K$100,P5)</f>
        <v>0</v>
      </c>
      <c r="AA4" s="176">
        <f>COUNTIFS($I$4:$I$100,$P27,$K$4:$K$100,P6)</f>
        <v>0</v>
      </c>
      <c r="AB4" s="176">
        <f>COUNTIFS($I$4:$I$100,$P27,$K$4:$K$100,P7)</f>
        <v>0</v>
      </c>
      <c r="AC4" s="168">
        <f>COUNTIFS($I$4:$I$100,$P27,$K$4:$K$100,P8)</f>
        <v>0</v>
      </c>
      <c r="AD4" s="108">
        <f>COUNTIFS($I$4:$I$100,$P27,$K$4:$K$100,P9)</f>
        <v>0</v>
      </c>
      <c r="AE4" s="108">
        <f>COUNTIFS($I$4:$I$100,$P27,$K$4:$K$100,P10)</f>
        <v>0</v>
      </c>
      <c r="AF4" s="175">
        <f>COUNTIFS($I$4:$I$100,$P27,$K$4:$K$100,P11)</f>
        <v>5</v>
      </c>
      <c r="AG4" s="175">
        <f>COUNTIFS($I$4:$I$100,$P27,$K$4:$K$100,P12)</f>
        <v>0</v>
      </c>
      <c r="AH4" s="175">
        <f>COUNTIFS($I$4:$I$100,$P27,$K$4:$K$100,P13)</f>
        <v>3</v>
      </c>
      <c r="AI4" s="174">
        <f>COUNTIFS($I$4:$I$100,$P27,$K$4:$K$100,P16)</f>
        <v>1</v>
      </c>
      <c r="AJ4" s="174">
        <f>COUNTIFS($I$4:$I$100,$P27,$K$4:$K$100,P18)</f>
        <v>0</v>
      </c>
      <c r="AX4" s="172" t="s">
        <v>1441</v>
      </c>
      <c r="AY4" s="287">
        <v>45328</v>
      </c>
      <c r="AZ4" s="288">
        <v>45330</v>
      </c>
      <c r="BA4" s="288">
        <v>45331</v>
      </c>
      <c r="BB4" s="288">
        <v>45334</v>
      </c>
      <c r="BC4" s="288">
        <v>45335</v>
      </c>
      <c r="BD4" s="288">
        <v>45336</v>
      </c>
      <c r="BE4" s="288">
        <v>45337</v>
      </c>
      <c r="BF4" s="288">
        <v>45338</v>
      </c>
      <c r="BG4" s="288">
        <v>45341</v>
      </c>
      <c r="BH4" s="288">
        <v>45342</v>
      </c>
      <c r="BI4" s="288">
        <v>45343</v>
      </c>
      <c r="BJ4" s="109"/>
      <c r="BK4" s="172"/>
      <c r="BL4" s="289">
        <v>1</v>
      </c>
      <c r="BM4" s="166" t="s">
        <v>1442</v>
      </c>
      <c r="BN4" s="166" t="s">
        <v>1443</v>
      </c>
      <c r="BO4" s="166" t="s">
        <v>1444</v>
      </c>
      <c r="BP4" s="166" t="s">
        <v>1445</v>
      </c>
      <c r="BQ4" s="109"/>
      <c r="BR4" s="172"/>
      <c r="BS4" s="290" t="s">
        <v>389</v>
      </c>
      <c r="BT4" s="290" t="s">
        <v>168</v>
      </c>
      <c r="BU4" s="290" t="s">
        <v>174</v>
      </c>
      <c r="BV4" s="290" t="s">
        <v>178</v>
      </c>
      <c r="BX4" s="292" t="s">
        <v>1441</v>
      </c>
      <c r="BY4" s="109" t="s">
        <v>1446</v>
      </c>
    </row>
    <row r="5" spans="2:78" ht="11.1" hidden="1">
      <c r="B5" s="27">
        <f t="shared" si="0"/>
        <v>2</v>
      </c>
      <c r="C5" s="28" t="s">
        <v>1385</v>
      </c>
      <c r="D5" s="27" t="s">
        <v>1447</v>
      </c>
      <c r="E5" s="28"/>
      <c r="F5" s="284"/>
      <c r="G5" s="27">
        <f>TeamA!E11</f>
        <v>3</v>
      </c>
      <c r="H5" s="269">
        <f t="shared" ref="H5:H35" si="1">(G5-Q5)/G5</f>
        <v>0.66666666666666663</v>
      </c>
      <c r="I5" s="28" t="str">
        <f>TeamA!AN11</f>
        <v>○</v>
      </c>
      <c r="J5" s="28" t="str">
        <f>TeamA!AO11</f>
        <v>○</v>
      </c>
      <c r="K5" s="182">
        <v>45322</v>
      </c>
      <c r="L5" s="182"/>
      <c r="M5" s="182">
        <v>45335</v>
      </c>
      <c r="N5" s="182">
        <v>45338</v>
      </c>
      <c r="O5" s="277" t="s">
        <v>1448</v>
      </c>
      <c r="P5" s="182">
        <v>45315</v>
      </c>
      <c r="Q5" s="27">
        <v>1</v>
      </c>
      <c r="R5" s="27">
        <v>0</v>
      </c>
      <c r="S5" s="268">
        <f t="shared" ref="S5:S67" ca="1" si="2">IF(N5&lt;TODAY(),0,NETWORKDAYS(TODAY(),N5,$S$2))</f>
        <v>0</v>
      </c>
      <c r="U5" s="187" t="s">
        <v>174</v>
      </c>
      <c r="V5" s="27">
        <f>COUNTIFS($I$4:$I$100,$P$26,$K$4:$K$100,$P29)</f>
        <v>0</v>
      </c>
      <c r="W5" s="27">
        <f>COUNTIFS($I$4:$I$100,$P$26,$K$4:$K$100,$P31)</f>
        <v>0</v>
      </c>
      <c r="X5" s="3">
        <f>COUNTIFS($I$4:$I$100,P26,$K$4:$K$100,P30)</f>
        <v>0</v>
      </c>
      <c r="Y5" s="168">
        <f>COUNTIFS($I$4:$I$100,$P26,$K$4:$K$100,P4)</f>
        <v>0</v>
      </c>
      <c r="Z5" s="168">
        <f>COUNTIFS($I$4:$I$100,$P26,$K$4:$K$100,P5)</f>
        <v>0</v>
      </c>
      <c r="AA5" s="176">
        <f>COUNTIFS($I$4:$I$100,$P26,$K$4:$K$100,P6)</f>
        <v>0</v>
      </c>
      <c r="AB5" s="176">
        <f>COUNTIFS($I$4:$I$100,$P26,$K$4:K$100,P7)</f>
        <v>0</v>
      </c>
      <c r="AC5" s="176">
        <f>COUNTIFS($I$4:$I$100,$P26,$K$4:$K$100,P8)</f>
        <v>0</v>
      </c>
      <c r="AD5" s="175">
        <f>COUNTIFS($I$4:$I$100,$P26,$K$4:K$100,P9)</f>
        <v>3</v>
      </c>
      <c r="AE5" s="175">
        <f>COUNTIFS($I$4:$I$100,$P26,$K$4:$K$100,P10)</f>
        <v>1</v>
      </c>
      <c r="AF5" s="175">
        <f>COUNTIFS($I$4:$I$100,$P26,$K$4:$K$100,P11)</f>
        <v>6</v>
      </c>
      <c r="AG5" s="175">
        <f>COUNTIFS($I$4:$I$100,$P26,$K$4:$K$100,P12)</f>
        <v>2</v>
      </c>
      <c r="AH5" s="175">
        <f>COUNTIFS($I$4:$I$100,$P26,$K$4:$K$100,$P13)</f>
        <v>5</v>
      </c>
      <c r="AI5" s="171">
        <f>COUNTIFS($I$4:$I$100,$P26,$K$4:$K$100,P16)</f>
        <v>0</v>
      </c>
      <c r="AJ5" s="171">
        <f>COUNTIFS($I$4:$I$100,$P26,$K$4:$K$100,P18)</f>
        <v>1</v>
      </c>
      <c r="AX5" s="92" t="s">
        <v>1385</v>
      </c>
      <c r="AY5" s="3">
        <f t="shared" ref="AY5:BI9" si="3">COUNTIFS($C$4:$C$95,$AX5,$F$4:$F$95,"",$N$4:$N$95,AY$4)</f>
        <v>0</v>
      </c>
      <c r="AZ5" s="3">
        <f t="shared" si="3"/>
        <v>0</v>
      </c>
      <c r="BA5" s="3">
        <f t="shared" si="3"/>
        <v>0</v>
      </c>
      <c r="BB5" s="3">
        <f t="shared" si="3"/>
        <v>0</v>
      </c>
      <c r="BC5" s="3">
        <f t="shared" si="3"/>
        <v>0</v>
      </c>
      <c r="BD5" s="3">
        <f t="shared" si="3"/>
        <v>0</v>
      </c>
      <c r="BE5" s="3">
        <f t="shared" si="3"/>
        <v>1</v>
      </c>
      <c r="BF5" s="3">
        <f t="shared" si="3"/>
        <v>4</v>
      </c>
      <c r="BG5" s="3">
        <f t="shared" si="3"/>
        <v>0</v>
      </c>
      <c r="BH5" s="3">
        <f t="shared" si="3"/>
        <v>1</v>
      </c>
      <c r="BI5" s="3">
        <f t="shared" si="3"/>
        <v>0</v>
      </c>
      <c r="BK5" s="3" t="s">
        <v>1385</v>
      </c>
      <c r="BL5" s="3">
        <f>COUNTIFS($C$4:$C$95,BK5,$F$4:$F$95,"",$H$4:$H$95,"=100%")</f>
        <v>1</v>
      </c>
      <c r="BM5" s="3">
        <f>COUNTIFS($C$4:$C$95,BK5,$F$4:$F$95,"",$H$4:$H$95,"&gt;=80%",$H$4:$H$95,"&lt;=99%")</f>
        <v>3</v>
      </c>
      <c r="BN5" s="3">
        <f>COUNTIFS($C$4:$C$95,$BK5,$F$4:$F$95,"",$H$4:$H$95,"&gt;=50%",$H$4:$H$95,"&lt;=79%")</f>
        <v>2</v>
      </c>
      <c r="BO5" s="3">
        <f>COUNTIFS($C$4:$C$95,$BK5,$F$4:$F$95,"",$H$4:$H$95,"&gt;=10%",$H$4:$H$95,"&lt;=49%")</f>
        <v>0</v>
      </c>
      <c r="BP5" s="3">
        <f>COUNTIFS($C$4:$C$95,BK5,$F$4:$F$95,"",$H$4:$H$95,"&lt;10%")</f>
        <v>0</v>
      </c>
      <c r="BR5" s="3" t="s">
        <v>1385</v>
      </c>
      <c r="BS5" s="3">
        <f>COUNTIFS($C$4:$C$95,$BR$5,$F$4:$F$95,"",$I$4:$I$95,BS$4)</f>
        <v>2</v>
      </c>
      <c r="BT5" s="3">
        <f>COUNTIFS($C$4:$C$95,$BR5,$F$4:$F$95,"",$I$4:$I$95,$BT$4)</f>
        <v>3</v>
      </c>
      <c r="BU5" s="3">
        <f>COUNTIFS($C$4:$C$95,$BR5,$F$4:$F$95,"",$I$4:$I$95,$BU$4)</f>
        <v>1</v>
      </c>
      <c r="BV5" s="3">
        <f>COUNTIFS($C$4:$C$95,$BR5,$F$4:$F$95,"",$I$4:$I$95,$BV$4)</f>
        <v>0</v>
      </c>
      <c r="BX5" s="2" t="s">
        <v>1385</v>
      </c>
      <c r="BY5" s="3">
        <f>COUNTIFS(C$4:C$95,BX5,E$4:E$95,"Y")</f>
        <v>0</v>
      </c>
      <c r="BZ5" t="s">
        <v>1449</v>
      </c>
    </row>
    <row r="6" spans="2:78" ht="11.1" hidden="1">
      <c r="B6" s="27">
        <f t="shared" si="0"/>
        <v>3</v>
      </c>
      <c r="C6" s="28" t="s">
        <v>1385</v>
      </c>
      <c r="D6" s="27" t="s">
        <v>249</v>
      </c>
      <c r="E6" s="28"/>
      <c r="F6" s="284"/>
      <c r="G6" s="27">
        <f>TeamA!E12</f>
        <v>6</v>
      </c>
      <c r="H6" s="269">
        <f t="shared" si="1"/>
        <v>1</v>
      </c>
      <c r="I6" s="28" t="str">
        <f>TeamA!AN12</f>
        <v>◎</v>
      </c>
      <c r="J6" s="28" t="str">
        <f>TeamA!AO12</f>
        <v>○</v>
      </c>
      <c r="K6" s="182">
        <v>45322</v>
      </c>
      <c r="L6" s="182"/>
      <c r="M6" s="182">
        <v>45335</v>
      </c>
      <c r="N6" s="182">
        <v>45338</v>
      </c>
      <c r="O6" s="277"/>
      <c r="P6" s="182">
        <v>45316</v>
      </c>
      <c r="Q6" s="27">
        <v>0</v>
      </c>
      <c r="R6" s="27">
        <v>0</v>
      </c>
      <c r="S6" s="268">
        <f t="shared" ca="1" si="2"/>
        <v>0</v>
      </c>
      <c r="U6" s="187" t="s">
        <v>168</v>
      </c>
      <c r="V6" s="27">
        <f>COUNTIFS($I$4:$I$100,$P$25,$K$4:$K$100,$P$29)</f>
        <v>0</v>
      </c>
      <c r="W6" s="27">
        <f>COUNTIFS($I$4:$I$100,$P$25,$K$4:$K$100,$P$31)</f>
        <v>0</v>
      </c>
      <c r="X6" s="27">
        <f>COUNTIFS($I$4:$I$100,$P25,$K$4:$K$100,P30)</f>
        <v>0</v>
      </c>
      <c r="Y6" s="176">
        <f>COUNTIFS($I$4:$I$100,$P25,$K$4:$K$100,P4)</f>
        <v>0</v>
      </c>
      <c r="Z6" s="168">
        <f>COUNTIFS($I$4:$I$100,$P25,$K$4:$K$100,P5)</f>
        <v>0</v>
      </c>
      <c r="AA6" s="168">
        <f>COUNTIFS($I$4:$I$100,$P25,$K$4:$K$100,P6)</f>
        <v>0</v>
      </c>
      <c r="AB6" s="176">
        <f>COUNTIFS($I$4:$I$100,$P25,$K$4:$K$100,P7)</f>
        <v>0</v>
      </c>
      <c r="AC6" s="168">
        <f>COUNTIFS($I$4:$I$100,$P25,$K$4:$K$100,P8)</f>
        <v>0</v>
      </c>
      <c r="AD6" s="108">
        <f>COUNTIFS($I$4:$I$100,$P25,$K$4:$K$100,P9)</f>
        <v>1</v>
      </c>
      <c r="AE6" s="108">
        <f>COUNTIFS($I$4:$I$100,$P25,$K$4:$K$100,P10)</f>
        <v>0</v>
      </c>
      <c r="AF6" s="175">
        <f>COUNTIFS($I$4:$I$100,$P25,$K$4:$K$100,P11)</f>
        <v>17</v>
      </c>
      <c r="AG6" s="108">
        <f>COUNTIFS($I$4:$I$100,$P25,$K$4:$K$100,P12)</f>
        <v>3</v>
      </c>
      <c r="AH6" s="175">
        <f>COUNTIFS($I$4:$I$100,$P25,$K$4:$K$100,$P13)</f>
        <v>2</v>
      </c>
      <c r="AI6" s="171">
        <f>COUNTIFS($I$4:$I$100,$P25,$K$4:$K$100,P16)</f>
        <v>0</v>
      </c>
      <c r="AJ6" s="171">
        <f>COUNTIFS($I$4:$I$100,$P25,$K$4:$K$100,P18)</f>
        <v>2</v>
      </c>
      <c r="AX6" s="3" t="s">
        <v>1386</v>
      </c>
      <c r="AY6" s="3">
        <f t="shared" si="3"/>
        <v>0</v>
      </c>
      <c r="AZ6" s="3">
        <f t="shared" si="3"/>
        <v>0</v>
      </c>
      <c r="BA6" s="3">
        <f t="shared" si="3"/>
        <v>0</v>
      </c>
      <c r="BB6" s="3">
        <f t="shared" si="3"/>
        <v>0</v>
      </c>
      <c r="BC6" s="3">
        <f t="shared" si="3"/>
        <v>0</v>
      </c>
      <c r="BD6" s="3">
        <f t="shared" si="3"/>
        <v>0</v>
      </c>
      <c r="BE6" s="3">
        <f t="shared" si="3"/>
        <v>0</v>
      </c>
      <c r="BF6" s="3">
        <f t="shared" si="3"/>
        <v>0</v>
      </c>
      <c r="BG6" s="3">
        <f t="shared" si="3"/>
        <v>0</v>
      </c>
      <c r="BH6" s="3">
        <f t="shared" si="3"/>
        <v>0</v>
      </c>
      <c r="BI6" s="3">
        <f t="shared" si="3"/>
        <v>0</v>
      </c>
      <c r="BK6" s="3" t="s">
        <v>1386</v>
      </c>
      <c r="BL6" s="3">
        <f>COUNTIFS($C$4:$C$95,BK6,$F$4:$F$95,"",$H$4:$H$95,"=100%")</f>
        <v>0</v>
      </c>
      <c r="BM6" s="3">
        <f>COUNTIFS($C$4:$C$95,BK6,$F$4:$F$95,"",$H$4:$H$95,"&gt;=80%",$H$4:$H$95,"&lt;=99%")</f>
        <v>0</v>
      </c>
      <c r="BN6" s="3">
        <f>COUNTIFS($C$4:$C$95,BK6,$F$4:$F$95,"",$H$4:$H$95,"&gt;=50%",$H$4:$H$95,"&lt;=79%")</f>
        <v>0</v>
      </c>
      <c r="BO6" s="3">
        <f>COUNTIFS($C$4:$C$95,$BK6,$F$4:$F$95,"",$H$4:$H$95,"&gt;10%",$H$4:$H$95,"&lt;=49%")</f>
        <v>0</v>
      </c>
      <c r="BP6" s="3">
        <f>COUNTIFS($C$4:$C$95,BK6,$F$4:$F$95,"",$H$4:$H$95,"&lt;10%")</f>
        <v>0</v>
      </c>
      <c r="BR6" s="3" t="s">
        <v>1386</v>
      </c>
      <c r="BS6" s="3">
        <f>COUNTIFS($C$4:$C$95,BR6,$F$4:$F$95,"",$I$4:$I$95,$BS$4)</f>
        <v>0</v>
      </c>
      <c r="BT6" s="3">
        <f>COUNTIFS($C$4:$C$95,$BR6,$F$4:$F$95,"",$I$4:$I$95,$BT$4)</f>
        <v>0</v>
      </c>
      <c r="BU6" s="3">
        <f>COUNTIFS($C$4:$C$95,$BR6,$F$4:$F$95,"",$I$4:$I$95,$BU$4)</f>
        <v>0</v>
      </c>
      <c r="BV6" s="3">
        <f>COUNTIFS($C$4:$C$95,$BR6,$F$4:$F$95,"",$I$4:$I$95,$BV$4)</f>
        <v>0</v>
      </c>
      <c r="BX6" s="81" t="s">
        <v>1386</v>
      </c>
      <c r="BY6" s="3">
        <f>COUNTIFS(C$4:C$95,BX6,E$4:E$95,"Y")</f>
        <v>0</v>
      </c>
    </row>
    <row r="7" spans="2:78" ht="21.95" hidden="1">
      <c r="B7" s="27">
        <f t="shared" si="0"/>
        <v>4</v>
      </c>
      <c r="C7" s="28" t="s">
        <v>1385</v>
      </c>
      <c r="D7" s="27" t="s">
        <v>262</v>
      </c>
      <c r="E7" s="28"/>
      <c r="F7" s="284"/>
      <c r="G7" s="3">
        <f>TeamA!E13</f>
        <v>6</v>
      </c>
      <c r="H7" s="269">
        <f>(G7-Q7)/G7</f>
        <v>0.83333333333333337</v>
      </c>
      <c r="I7" s="28" t="str">
        <f>TeamA!AN13</f>
        <v>○</v>
      </c>
      <c r="J7" s="28" t="str">
        <f>TeamA!AO13</f>
        <v>○</v>
      </c>
      <c r="K7" s="182">
        <v>45322</v>
      </c>
      <c r="L7" s="182"/>
      <c r="M7" s="182">
        <v>45335</v>
      </c>
      <c r="N7" s="182">
        <v>45338</v>
      </c>
      <c r="O7" s="29" t="s">
        <v>1450</v>
      </c>
      <c r="P7" s="182">
        <v>45317</v>
      </c>
      <c r="Q7" s="27">
        <v>1</v>
      </c>
      <c r="R7" s="27">
        <v>2</v>
      </c>
      <c r="S7" s="268">
        <f t="shared" ca="1" si="2"/>
        <v>0</v>
      </c>
      <c r="U7" s="187" t="s">
        <v>389</v>
      </c>
      <c r="V7" s="27">
        <f>COUNTIFS($I$4:$I$100,$P$24,$K$4:$K$100,$P29)</f>
        <v>0</v>
      </c>
      <c r="W7" s="27">
        <f>COUNTIFS($I$4:$I$100,$P$24,$K$4:$K$100,$P31)</f>
        <v>0</v>
      </c>
      <c r="X7" s="27">
        <f>COUNTIFS($I$4:$I$100,$P24,$K$4:$K$100,P30)</f>
        <v>0</v>
      </c>
      <c r="Y7" s="176">
        <f>COUNTIFS($I$4:$I$100,$P24,$K$4:$K$100,P4)</f>
        <v>0</v>
      </c>
      <c r="Z7" s="168">
        <f>COUNTIFS($I$4:$I$100,$P24,$K$4:$K$100,P5)</f>
        <v>1</v>
      </c>
      <c r="AA7" s="168">
        <f>COUNTIFS($I$4:$I$100,$P24,$K$4:$K$100,P6)</f>
        <v>0</v>
      </c>
      <c r="AB7" s="176">
        <f>COUNTIFS($I$4:$I$100,$P24,$K$4:$K$100,P7)</f>
        <v>1</v>
      </c>
      <c r="AC7" s="168">
        <f>COUNTIFS($I$4:$I$100,$P24,$K$4:$K$100,P8)</f>
        <v>0</v>
      </c>
      <c r="AD7" s="108">
        <f>COUNTIFS($I$4:$I$100,$P24,$K$4:$K$100,P9)</f>
        <v>0</v>
      </c>
      <c r="AE7" s="108">
        <f>COUNTIFS($I$4:$I$100,$P24,$K$4:$K$100,P10)</f>
        <v>0</v>
      </c>
      <c r="AF7" s="175">
        <f>COUNTIFS($I$4:$I$100,$P24,$K$4:$K$100,P11)</f>
        <v>19</v>
      </c>
      <c r="AG7" s="108">
        <f>COUNTIFS($I$4:$I$100,$P24,$K$4:$K$100,P12)</f>
        <v>1</v>
      </c>
      <c r="AH7" s="108">
        <f>COUNTIFS($I$4:$I$100,$P24,$K$4:$K$100,$P13)</f>
        <v>0</v>
      </c>
      <c r="AI7" s="171">
        <f>COUNTIFS($I$4:$I$100,$P24,$K$4:$K$100,P16)</f>
        <v>0</v>
      </c>
      <c r="AJ7" s="171">
        <f>COUNTIFS($I$4:$I$100,$P24,$K$4:$K$100,P18)</f>
        <v>1</v>
      </c>
      <c r="AX7" s="3" t="s">
        <v>1387</v>
      </c>
      <c r="AY7" s="3">
        <f t="shared" si="3"/>
        <v>0</v>
      </c>
      <c r="AZ7" s="3">
        <f t="shared" si="3"/>
        <v>0</v>
      </c>
      <c r="BA7" s="3">
        <f t="shared" si="3"/>
        <v>2</v>
      </c>
      <c r="BB7" s="3">
        <f t="shared" si="3"/>
        <v>0</v>
      </c>
      <c r="BC7" s="3">
        <f t="shared" si="3"/>
        <v>1</v>
      </c>
      <c r="BD7" s="3">
        <f t="shared" si="3"/>
        <v>0</v>
      </c>
      <c r="BE7" s="3">
        <f t="shared" si="3"/>
        <v>0</v>
      </c>
      <c r="BF7" s="3">
        <f t="shared" si="3"/>
        <v>1</v>
      </c>
      <c r="BG7" s="3">
        <f t="shared" si="3"/>
        <v>2</v>
      </c>
      <c r="BH7" s="3">
        <f t="shared" si="3"/>
        <v>1</v>
      </c>
      <c r="BI7" s="3">
        <f t="shared" si="3"/>
        <v>0</v>
      </c>
      <c r="BK7" s="3" t="s">
        <v>1387</v>
      </c>
      <c r="BL7" s="3">
        <f>COUNTIFS($C$4:$C$95,BK7,$F$4:$F$95,"",$H$4:$H$95,"=100%")</f>
        <v>2</v>
      </c>
      <c r="BM7" s="3">
        <f>COUNTIFS($C$4:$C$95,BK7,$F$4:$F$95,"",$H$4:$H$95,"&gt;=80%",$H$4:$H$95,"&lt;=99%")</f>
        <v>3</v>
      </c>
      <c r="BN7" s="3">
        <f>COUNTIFS($C$4:$C$95,BK7,$F$4:$F$95,"",$H$4:$H$95,"&gt;=50%",$H$4:$H$95,"&lt;=79%")</f>
        <v>1</v>
      </c>
      <c r="BO7" s="3">
        <f>COUNTIFS($C$4:$C$95,$BK7,$F$4:$F$95,"",$H$4:$H$95,"&gt;=10%",$H$4:$H$95,"&lt;=49%")</f>
        <v>3</v>
      </c>
      <c r="BP7" s="3">
        <f>COUNTIFS($C$4:$C$95,BK7,$F$4:$F$95,"",$H$4:$H$95,"&lt;10%")</f>
        <v>0</v>
      </c>
      <c r="BR7" s="3" t="s">
        <v>1387</v>
      </c>
      <c r="BS7" s="3">
        <f>COUNTIFS($C$4:$C$95,BR7,$F$4:$F$95,"",$I$4:$I$95,$BS$4)</f>
        <v>1</v>
      </c>
      <c r="BT7" s="3">
        <f>COUNTIFS($C$4:$C$95,$BR7,$F$4:$F$95,"",$I$4:$I$95,$BT$4)</f>
        <v>3</v>
      </c>
      <c r="BU7" s="3">
        <f>COUNTIFS($C$4:$C$95,$BR7,$F$4:$F$95,"",$I$4:$I$95,$BU$4)</f>
        <v>3</v>
      </c>
      <c r="BV7" s="3">
        <f>COUNTIFS($C$4:$C$95,$BR7,$F$4:$F$95,"",$I$4:$I$95,$BV$4)</f>
        <v>2</v>
      </c>
      <c r="BX7" s="81" t="s">
        <v>1387</v>
      </c>
      <c r="BY7" s="3">
        <f>COUNTIFS(C$4:C$95,BX7,E$4:E$95,"Y")</f>
        <v>0</v>
      </c>
    </row>
    <row r="8" spans="2:78" ht="12" hidden="1" customHeight="1">
      <c r="B8" s="27">
        <f t="shared" si="0"/>
        <v>5</v>
      </c>
      <c r="C8" s="28" t="s">
        <v>1385</v>
      </c>
      <c r="D8" s="27" t="s">
        <v>274</v>
      </c>
      <c r="E8" s="28"/>
      <c r="F8" s="182">
        <v>45328</v>
      </c>
      <c r="G8" s="27">
        <f>TeamA!E14</f>
        <v>6</v>
      </c>
      <c r="H8" s="269">
        <f t="shared" si="1"/>
        <v>1</v>
      </c>
      <c r="I8" s="28" t="str">
        <f>TeamA!AN14</f>
        <v>◎</v>
      </c>
      <c r="J8" s="28" t="str">
        <f>TeamA!AO14</f>
        <v>○</v>
      </c>
      <c r="K8" s="182">
        <v>45322</v>
      </c>
      <c r="L8" s="182">
        <v>45322</v>
      </c>
      <c r="M8" s="182" t="s">
        <v>230</v>
      </c>
      <c r="N8" s="182">
        <v>45328</v>
      </c>
      <c r="O8" s="27"/>
      <c r="P8" s="182">
        <v>45318</v>
      </c>
      <c r="Q8" s="27">
        <v>0</v>
      </c>
      <c r="R8" s="27">
        <v>0</v>
      </c>
      <c r="S8" s="268">
        <f t="shared" ca="1" si="2"/>
        <v>0</v>
      </c>
      <c r="U8" s="192" t="s">
        <v>1451</v>
      </c>
      <c r="V8" s="172">
        <f>SUM(V4:V7)</f>
        <v>0</v>
      </c>
      <c r="W8" s="172">
        <f>SUM(W4:W7)</f>
        <v>0</v>
      </c>
      <c r="X8" s="172">
        <f>SUM(X4:X7)</f>
        <v>0</v>
      </c>
      <c r="Y8" s="537">
        <f>SUM(Y4:AC7)</f>
        <v>2</v>
      </c>
      <c r="Z8" s="537"/>
      <c r="AA8" s="537"/>
      <c r="AB8" s="537"/>
      <c r="AC8" s="537"/>
      <c r="AD8" s="179">
        <f>SUM(AD4:AH7)</f>
        <v>68</v>
      </c>
      <c r="AE8" s="179"/>
      <c r="AF8" s="179"/>
      <c r="AG8" s="179"/>
      <c r="AH8" s="179"/>
      <c r="AI8" s="180">
        <f>SUM(AI4:AJ7)</f>
        <v>5</v>
      </c>
      <c r="AJ8" s="180"/>
      <c r="AL8">
        <f>SUM(V8:AJ8)</f>
        <v>75</v>
      </c>
      <c r="AX8" s="3" t="s">
        <v>1388</v>
      </c>
      <c r="AY8" s="3">
        <f t="shared" si="3"/>
        <v>0</v>
      </c>
      <c r="AZ8" s="3">
        <f t="shared" si="3"/>
        <v>0</v>
      </c>
      <c r="BA8" s="3">
        <f t="shared" si="3"/>
        <v>1</v>
      </c>
      <c r="BB8" s="3">
        <f t="shared" si="3"/>
        <v>1</v>
      </c>
      <c r="BC8" s="3">
        <f t="shared" si="3"/>
        <v>3</v>
      </c>
      <c r="BD8" s="3">
        <f t="shared" si="3"/>
        <v>0</v>
      </c>
      <c r="BE8" s="3">
        <f t="shared" si="3"/>
        <v>2</v>
      </c>
      <c r="BF8" s="3">
        <f t="shared" si="3"/>
        <v>3</v>
      </c>
      <c r="BG8" s="3">
        <f t="shared" si="3"/>
        <v>4</v>
      </c>
      <c r="BH8" s="3">
        <f t="shared" si="3"/>
        <v>0</v>
      </c>
      <c r="BI8" s="3">
        <f t="shared" si="3"/>
        <v>0</v>
      </c>
      <c r="BK8" s="3" t="s">
        <v>1388</v>
      </c>
      <c r="BL8" s="3">
        <f>COUNTIFS($C$4:$C$95,BK8,$F$4:$F$95,"",$H$4:$H$95,"=100%")</f>
        <v>5</v>
      </c>
      <c r="BM8" s="3">
        <f>COUNTIFS($C$4:$C$95,BK8,$F$4:$F$95,"",$H$4:$H$95,"&gt;=80%",$H$4:$H$95,"&lt;=99%")</f>
        <v>7</v>
      </c>
      <c r="BN8" s="3">
        <f>COUNTIFS($C$4:$C$95,BK8,$F$4:$F$95,"",$H$4:$H$95,"&gt;=50%",$H$4:$H$95,"&lt;=79%")</f>
        <v>2</v>
      </c>
      <c r="BO8" s="3">
        <f>COUNTIFS($C$4:$C$95,$BK8,$F$4:$F$95,"",$H$4:$H$95,"&gt;=10%",$H$4:$H$95,"&lt;=49%")</f>
        <v>0</v>
      </c>
      <c r="BP8" s="3">
        <f>COUNTIFS($C$4:$C$95,BK8,$F$4:$F$95,"",$H$4:$H$95,"&lt;10%")</f>
        <v>0</v>
      </c>
      <c r="BR8" s="3" t="s">
        <v>1388</v>
      </c>
      <c r="BS8" s="3">
        <f>COUNTIFS($C$4:$C$95,BR8,$F$4:$F$95,"",$I$4:$I$95,$BS$4)</f>
        <v>1</v>
      </c>
      <c r="BT8" s="3">
        <f>COUNTIFS($C$4:$C$95,$BR8,$F$4:$F$95,"",$I$4:$I$95,$BT$4)</f>
        <v>6</v>
      </c>
      <c r="BU8" s="3">
        <f>COUNTIFS($C$4:$C$95,$BR8,$F$4:$F$95,"",$I$4:$I$95,$BU$4)</f>
        <v>6</v>
      </c>
      <c r="BV8" s="3">
        <f>COUNTIFS($C$4:$C$95,$BR8,$F$4:$F$95,"",$I$4:$I$95,$BV$4)</f>
        <v>1</v>
      </c>
      <c r="BX8" s="81" t="s">
        <v>1388</v>
      </c>
      <c r="BY8" s="3">
        <f>COUNTIFS(C$4:C$95,BX8,E$4:E$95,"Y")</f>
        <v>0</v>
      </c>
    </row>
    <row r="9" spans="2:78" ht="11.1" hidden="1">
      <c r="B9" s="27">
        <f t="shared" si="0"/>
        <v>6</v>
      </c>
      <c r="C9" s="28" t="s">
        <v>1385</v>
      </c>
      <c r="D9" s="27" t="s">
        <v>1452</v>
      </c>
      <c r="E9" s="28"/>
      <c r="F9" s="182">
        <v>45328</v>
      </c>
      <c r="G9" s="27">
        <f>TeamA!E15</f>
        <v>5</v>
      </c>
      <c r="H9" s="269">
        <f>(G9-Q9)/G9</f>
        <v>0.8</v>
      </c>
      <c r="I9" s="28" t="str">
        <f>TeamA!AN15</f>
        <v>○</v>
      </c>
      <c r="J9" s="28" t="str">
        <f>TeamA!AO15</f>
        <v>○</v>
      </c>
      <c r="K9" s="182">
        <v>45322</v>
      </c>
      <c r="L9" s="182"/>
      <c r="M9" s="182">
        <v>45334</v>
      </c>
      <c r="N9" s="182">
        <v>45337</v>
      </c>
      <c r="O9" s="277" t="s">
        <v>1453</v>
      </c>
      <c r="P9" s="182">
        <v>45320</v>
      </c>
      <c r="Q9" s="27">
        <v>1</v>
      </c>
      <c r="R9" s="27">
        <v>0</v>
      </c>
      <c r="S9" s="268">
        <f t="shared" ca="1" si="2"/>
        <v>0</v>
      </c>
      <c r="AX9" s="87" t="s">
        <v>1389</v>
      </c>
      <c r="AY9" s="87">
        <f t="shared" si="3"/>
        <v>1</v>
      </c>
      <c r="AZ9" s="87">
        <f t="shared" si="3"/>
        <v>1</v>
      </c>
      <c r="BA9" s="87">
        <f t="shared" si="3"/>
        <v>0</v>
      </c>
      <c r="BB9" s="87">
        <f t="shared" si="3"/>
        <v>0</v>
      </c>
      <c r="BC9" s="87">
        <f t="shared" si="3"/>
        <v>0</v>
      </c>
      <c r="BD9" s="87">
        <f t="shared" si="3"/>
        <v>2</v>
      </c>
      <c r="BE9" s="87">
        <f t="shared" si="3"/>
        <v>2</v>
      </c>
      <c r="BF9" s="87">
        <f t="shared" si="3"/>
        <v>3</v>
      </c>
      <c r="BG9" s="3">
        <f t="shared" si="3"/>
        <v>0</v>
      </c>
      <c r="BH9" s="87">
        <f t="shared" si="3"/>
        <v>1</v>
      </c>
      <c r="BI9" s="87">
        <f t="shared" si="3"/>
        <v>0</v>
      </c>
      <c r="BK9" s="3" t="s">
        <v>1389</v>
      </c>
      <c r="BL9" s="3">
        <f>COUNTIFS($C$4:$C$95,BK9,$F$4:$F$95,"",$H$4:$H$95,"=100%")</f>
        <v>5</v>
      </c>
      <c r="BM9" s="3">
        <f>COUNTIFS($C$4:$C$95,BK9,$F$4:$F$95,"",$H$4:$H$95,"&gt;=80%",$H$4:$H$95,"&lt;=99%")</f>
        <v>1</v>
      </c>
      <c r="BN9" s="3">
        <f>COUNTIFS($C$4:$C$95,BK9,$F$4:$F$95,"",$H$4:$H$95,"&gt;=50%",$H$4:$H$95,"&lt;=79%")</f>
        <v>3</v>
      </c>
      <c r="BO9" s="3">
        <f>COUNTIFS($C$4:$C$95,$BK9,$F$4:$F$95,"",$H$4:$H$95,"&gt;=10%",$H$4:$H$95,"&lt;=49%")</f>
        <v>1</v>
      </c>
      <c r="BP9" s="3">
        <f>COUNTIFS($C$4:$C$95,BK9,$F$4:$F$95,"",$H$4:$H$95,"&lt;10%")</f>
        <v>0</v>
      </c>
      <c r="BR9" s="3" t="s">
        <v>1389</v>
      </c>
      <c r="BS9" s="3">
        <f>COUNTIFS($C$4:$C$95,BR9,$F$4:$F$95,"",$I$4:$I$95,$BS$4)</f>
        <v>1</v>
      </c>
      <c r="BT9" s="3">
        <f>COUNTIFS($C$4:$C$95,$BR9,$F$4:$F$95,"",$I$4:$I$95,$BT$4)</f>
        <v>3</v>
      </c>
      <c r="BU9" s="3">
        <f>COUNTIFS($C$4:$C$95,$BR9,$F$4:$F$95,"",$I$4:$I$95,$BU$4)</f>
        <v>6</v>
      </c>
      <c r="BV9" s="3">
        <f>COUNTIFS($C$4:$C$95,$BR9,$F$4:$F$95,"",$I$4:$I$95,$BV$4)</f>
        <v>0</v>
      </c>
      <c r="BX9" s="293" t="s">
        <v>1389</v>
      </c>
      <c r="BY9" s="3">
        <f>COUNTIFS(C$4:C$95,BX9,E$4:E$95,"Y")</f>
        <v>0</v>
      </c>
    </row>
    <row r="10" spans="2:78" ht="11.1">
      <c r="B10" s="27">
        <f t="shared" si="0"/>
        <v>7</v>
      </c>
      <c r="C10" s="28" t="s">
        <v>1385</v>
      </c>
      <c r="D10" s="27" t="s">
        <v>1454</v>
      </c>
      <c r="E10" s="28" t="s">
        <v>1402</v>
      </c>
      <c r="F10" s="182">
        <v>45314</v>
      </c>
      <c r="G10" s="27">
        <f>TeamA!E16</f>
        <v>7</v>
      </c>
      <c r="H10" s="269">
        <f t="shared" si="1"/>
        <v>1</v>
      </c>
      <c r="I10" s="28" t="str">
        <f>TeamA!AN16</f>
        <v>×</v>
      </c>
      <c r="J10" s="28" t="str">
        <f>TeamA!AO16</f>
        <v>×</v>
      </c>
      <c r="K10" s="182">
        <v>45322</v>
      </c>
      <c r="L10" s="182"/>
      <c r="M10" s="182">
        <v>45330</v>
      </c>
      <c r="N10" s="182">
        <v>45335</v>
      </c>
      <c r="O10" s="277"/>
      <c r="P10" s="182">
        <v>45321</v>
      </c>
      <c r="Q10" s="27">
        <v>0</v>
      </c>
      <c r="R10" s="27">
        <v>0</v>
      </c>
      <c r="S10" s="268">
        <f t="shared" ca="1" si="2"/>
        <v>0</v>
      </c>
      <c r="U10" s="109" t="s">
        <v>1455</v>
      </c>
      <c r="V10" s="109"/>
      <c r="W10" s="109"/>
      <c r="X10" s="109"/>
      <c r="AX10" s="172" t="s">
        <v>1451</v>
      </c>
      <c r="AY10" s="172">
        <f>SUM(AY5:AY9)</f>
        <v>1</v>
      </c>
      <c r="AZ10" s="172">
        <f t="shared" ref="AZ10" si="4">SUM(AZ5:AZ9)</f>
        <v>1</v>
      </c>
      <c r="BA10" s="172">
        <f t="shared" ref="BA10:BI10" si="5">SUM(BA5:BA9)</f>
        <v>3</v>
      </c>
      <c r="BB10" s="172">
        <f t="shared" si="5"/>
        <v>1</v>
      </c>
      <c r="BC10" s="172">
        <f t="shared" si="5"/>
        <v>4</v>
      </c>
      <c r="BD10" s="172">
        <f t="shared" si="5"/>
        <v>2</v>
      </c>
      <c r="BE10" s="172">
        <f t="shared" si="5"/>
        <v>5</v>
      </c>
      <c r="BF10" s="172">
        <f t="shared" si="5"/>
        <v>11</v>
      </c>
      <c r="BG10" s="291">
        <f>SUM(BG5:BG9)</f>
        <v>6</v>
      </c>
      <c r="BH10" s="291">
        <f t="shared" si="5"/>
        <v>3</v>
      </c>
      <c r="BI10" s="291">
        <f t="shared" si="5"/>
        <v>0</v>
      </c>
      <c r="BJ10" s="286">
        <f>SUM(AY10:BI10)</f>
        <v>37</v>
      </c>
      <c r="BK10" s="172" t="s">
        <v>1456</v>
      </c>
      <c r="BL10" s="172">
        <f>SUM(BL5:BL9)</f>
        <v>13</v>
      </c>
      <c r="BM10" s="172">
        <f>SUM(BM5:BM9)</f>
        <v>14</v>
      </c>
      <c r="BN10" s="172">
        <f>SUM(BN5:BN9)</f>
        <v>8</v>
      </c>
      <c r="BO10" s="172">
        <f>SUM(BO5:BO9)</f>
        <v>4</v>
      </c>
      <c r="BP10" s="291">
        <f>SUM(BP5:BP9)</f>
        <v>0</v>
      </c>
      <c r="BQ10" s="109">
        <f>SUM(BL10:BP10)</f>
        <v>39</v>
      </c>
      <c r="BR10" s="172" t="s">
        <v>1456</v>
      </c>
      <c r="BS10" s="172">
        <f t="shared" ref="BS10:BV10" si="6">SUM(BS5:BS9)</f>
        <v>5</v>
      </c>
      <c r="BT10" s="172">
        <f t="shared" si="6"/>
        <v>15</v>
      </c>
      <c r="BU10" s="172">
        <f t="shared" si="6"/>
        <v>16</v>
      </c>
      <c r="BV10" s="172">
        <f t="shared" si="6"/>
        <v>3</v>
      </c>
      <c r="BW10" s="286">
        <f>SUM(BS10:BV10)</f>
        <v>39</v>
      </c>
      <c r="BX10" s="292" t="s">
        <v>1451</v>
      </c>
      <c r="BY10" s="291">
        <f>SUM(BY5:BY9)</f>
        <v>0</v>
      </c>
    </row>
    <row r="11" spans="2:78" ht="11.1" hidden="1" customHeight="1">
      <c r="B11" s="27">
        <f t="shared" si="0"/>
        <v>8</v>
      </c>
      <c r="C11" s="28" t="s">
        <v>1385</v>
      </c>
      <c r="D11" s="27" t="s">
        <v>1457</v>
      </c>
      <c r="E11" s="28"/>
      <c r="F11" s="284"/>
      <c r="G11" s="27">
        <f>TeamA!E17</f>
        <v>6</v>
      </c>
      <c r="H11" s="269">
        <f t="shared" si="1"/>
        <v>0.83333333333333337</v>
      </c>
      <c r="I11" s="28" t="str">
        <f>TeamA!AN17</f>
        <v>◎</v>
      </c>
      <c r="J11" s="28" t="str">
        <f>TeamA!AO17</f>
        <v>○</v>
      </c>
      <c r="K11" s="182">
        <v>45322</v>
      </c>
      <c r="L11" s="182"/>
      <c r="M11" s="182">
        <v>45334</v>
      </c>
      <c r="N11" s="182">
        <v>45337</v>
      </c>
      <c r="O11" s="229" t="s">
        <v>1458</v>
      </c>
      <c r="P11" s="182">
        <v>45322</v>
      </c>
      <c r="Q11" s="27">
        <v>1</v>
      </c>
      <c r="R11" s="27">
        <v>0</v>
      </c>
      <c r="S11" s="268">
        <f t="shared" ca="1" si="2"/>
        <v>0</v>
      </c>
      <c r="U11" s="603" t="s">
        <v>1412</v>
      </c>
      <c r="V11" s="539" t="s">
        <v>1413</v>
      </c>
      <c r="W11" s="539" t="s">
        <v>1414</v>
      </c>
      <c r="X11" s="539" t="s">
        <v>1415</v>
      </c>
      <c r="Y11" s="537" t="s">
        <v>1416</v>
      </c>
      <c r="Z11" s="537"/>
      <c r="AA11" s="537"/>
      <c r="AB11" s="537"/>
      <c r="AC11" s="537"/>
      <c r="AD11" s="547" t="s">
        <v>1417</v>
      </c>
      <c r="AE11" s="548"/>
      <c r="AF11" s="548"/>
      <c r="AG11" s="548"/>
      <c r="AH11" s="549"/>
      <c r="AI11" s="550" t="s">
        <v>1418</v>
      </c>
      <c r="AJ11" s="555"/>
      <c r="AK11" s="551"/>
      <c r="AL11" s="541" t="s">
        <v>1459</v>
      </c>
      <c r="AM11" s="541"/>
    </row>
    <row r="12" spans="2:78" ht="21.95" hidden="1">
      <c r="B12" s="27">
        <f t="shared" si="0"/>
        <v>9</v>
      </c>
      <c r="C12" s="28" t="s">
        <v>1385</v>
      </c>
      <c r="D12" s="27" t="s">
        <v>1460</v>
      </c>
      <c r="E12" s="28" t="s">
        <v>1402</v>
      </c>
      <c r="F12" s="284"/>
      <c r="G12" s="27">
        <f>TeamA!E18</f>
        <v>6</v>
      </c>
      <c r="H12" s="269">
        <f t="shared" si="1"/>
        <v>0.5</v>
      </c>
      <c r="I12" s="28" t="str">
        <f>TeamA!AN18</f>
        <v>△</v>
      </c>
      <c r="J12" s="28" t="str">
        <f>TeamA!AO18</f>
        <v>×</v>
      </c>
      <c r="K12" s="182">
        <v>45322</v>
      </c>
      <c r="L12" s="182"/>
      <c r="M12" s="182">
        <v>45337</v>
      </c>
      <c r="N12" s="182">
        <v>45342</v>
      </c>
      <c r="O12" s="277" t="s">
        <v>1461</v>
      </c>
      <c r="P12" s="182">
        <v>45323</v>
      </c>
      <c r="Q12" s="27">
        <v>3</v>
      </c>
      <c r="R12" s="27">
        <v>0</v>
      </c>
      <c r="S12" s="268">
        <f t="shared" ca="1" si="2"/>
        <v>0</v>
      </c>
      <c r="U12" s="538"/>
      <c r="V12" s="540"/>
      <c r="W12" s="540"/>
      <c r="X12" s="540"/>
      <c r="Y12" s="167">
        <v>45314</v>
      </c>
      <c r="Z12" s="167">
        <v>45315</v>
      </c>
      <c r="AA12" s="167">
        <v>45316</v>
      </c>
      <c r="AB12" s="167">
        <v>45317</v>
      </c>
      <c r="AC12" s="167">
        <v>45318</v>
      </c>
      <c r="AD12" s="169">
        <v>45320</v>
      </c>
      <c r="AE12" s="169">
        <v>45321</v>
      </c>
      <c r="AF12" s="169">
        <v>45322</v>
      </c>
      <c r="AG12" s="169">
        <v>45323</v>
      </c>
      <c r="AH12" s="169">
        <v>45324</v>
      </c>
      <c r="AI12" s="170">
        <v>45327</v>
      </c>
      <c r="AJ12" s="170">
        <v>45328</v>
      </c>
      <c r="AK12" s="170">
        <v>45329</v>
      </c>
      <c r="AL12" s="170">
        <v>45334</v>
      </c>
      <c r="AM12" s="170">
        <v>45336</v>
      </c>
    </row>
    <row r="13" spans="2:78" ht="21.95">
      <c r="B13" s="27">
        <f t="shared" si="0"/>
        <v>10</v>
      </c>
      <c r="C13" s="28" t="s">
        <v>1385</v>
      </c>
      <c r="D13" s="27" t="s">
        <v>1462</v>
      </c>
      <c r="E13" s="28" t="s">
        <v>1402</v>
      </c>
      <c r="F13" s="182">
        <v>45314</v>
      </c>
      <c r="G13" s="27">
        <f>TeamA!E19</f>
        <v>7</v>
      </c>
      <c r="H13" s="269">
        <f t="shared" si="1"/>
        <v>0.7142857142857143</v>
      </c>
      <c r="I13" s="28" t="str">
        <f>TeamA!AN19</f>
        <v>×</v>
      </c>
      <c r="J13" s="28" t="str">
        <f>TeamA!AO19</f>
        <v>×</v>
      </c>
      <c r="K13" s="182">
        <v>45322</v>
      </c>
      <c r="L13" s="182"/>
      <c r="M13" s="182">
        <v>45336</v>
      </c>
      <c r="N13" s="182">
        <v>45341</v>
      </c>
      <c r="O13" s="277" t="s">
        <v>1463</v>
      </c>
      <c r="P13" s="182">
        <v>45324</v>
      </c>
      <c r="Q13" s="27">
        <v>2</v>
      </c>
      <c r="R13" s="27">
        <v>0</v>
      </c>
      <c r="S13" s="268">
        <f t="shared" ca="1" si="2"/>
        <v>0</v>
      </c>
      <c r="U13" s="3" t="s">
        <v>178</v>
      </c>
      <c r="V13" s="27">
        <f>COUNTIFS($I$4:$I$100,$P$27,$N$4:$N$100,$P29)</f>
        <v>0</v>
      </c>
      <c r="W13" s="27">
        <f>COUNTIFS($I$4:$I$100,$P$27,$N$4:$N$100,$P31)</f>
        <v>0</v>
      </c>
      <c r="X13" s="3">
        <f>COUNTIFS($I$4:$I$100,P27,$N$4:$N$100,P30)</f>
        <v>0</v>
      </c>
      <c r="Y13" s="168"/>
      <c r="Z13" s="168"/>
      <c r="AA13" s="168"/>
      <c r="AB13" s="168">
        <f>COUNTIFS($I$4:$I$100,$P$27,$N$4:$N$100,P7)</f>
        <v>0</v>
      </c>
      <c r="AC13" s="168"/>
      <c r="AD13" s="108">
        <f>COUNTIFS($I$4:$I$100,$P$27,$N$4:$N$100,$P9)</f>
        <v>0</v>
      </c>
      <c r="AE13" s="175">
        <f>COUNTIFS($I$4:$I$100,$P$27,$N$4:$N$100,$P10)</f>
        <v>0</v>
      </c>
      <c r="AF13" s="175">
        <f>COUNTIFS($I$4:$I$100,$P$27,$N$4:$N$100,$P11)</f>
        <v>0</v>
      </c>
      <c r="AG13" s="108">
        <f>COUNTIFS($I$4:$I$100,$P$27,$N$4:$N$100,$P12)</f>
        <v>0</v>
      </c>
      <c r="AH13" s="175">
        <f>COUNTIFS($I$4:$I$100,$P$27,$N$4:$N$100,$P13)</f>
        <v>0</v>
      </c>
      <c r="AI13" s="174">
        <f>COUNTIFS($I$4:$I$100,$P$27,$N$4:$N$100,$P14)</f>
        <v>0</v>
      </c>
      <c r="AJ13" s="174">
        <f>COUNTIFS($I$4:$I$100,$P$27,$N$4:$N$100,$P15)</f>
        <v>0</v>
      </c>
      <c r="AK13" s="174">
        <f>COUNTIFS($I$4:$I$100,$P$27,$N$4:$N$100,$P16)</f>
        <v>0</v>
      </c>
      <c r="AL13" s="174">
        <f>COUNTIFS($I$4:$I$100,$P$27,$N$4:$N$100,$P19)</f>
        <v>0</v>
      </c>
      <c r="AM13" s="174">
        <f>COUNTIFS($I$4:$I$100,$P$27,$N$4:$N$100,$P21)</f>
        <v>0</v>
      </c>
    </row>
    <row r="14" spans="2:78" ht="33">
      <c r="B14" s="27">
        <f t="shared" si="0"/>
        <v>11</v>
      </c>
      <c r="C14" s="28" t="s">
        <v>1385</v>
      </c>
      <c r="D14" s="29" t="s">
        <v>1464</v>
      </c>
      <c r="E14" s="28" t="s">
        <v>1402</v>
      </c>
      <c r="F14" s="182">
        <v>45314</v>
      </c>
      <c r="G14" s="27">
        <f>TeamA!E20</f>
        <v>7</v>
      </c>
      <c r="H14" s="269">
        <f t="shared" si="1"/>
        <v>0.5714285714285714</v>
      </c>
      <c r="I14" s="28" t="str">
        <f>TeamA!AN20</f>
        <v>×</v>
      </c>
      <c r="J14" s="28" t="str">
        <f>TeamA!AO20</f>
        <v>×</v>
      </c>
      <c r="K14" s="182">
        <v>45322</v>
      </c>
      <c r="L14" s="182"/>
      <c r="M14" s="182">
        <v>45336</v>
      </c>
      <c r="N14" s="182">
        <v>45341</v>
      </c>
      <c r="O14" s="402" t="s">
        <v>1465</v>
      </c>
      <c r="P14" s="182">
        <v>45327</v>
      </c>
      <c r="Q14" s="27">
        <v>3</v>
      </c>
      <c r="R14" s="27">
        <v>0</v>
      </c>
      <c r="S14" s="268">
        <f t="shared" ca="1" si="2"/>
        <v>0</v>
      </c>
      <c r="U14" s="3" t="s">
        <v>174</v>
      </c>
      <c r="V14" s="27">
        <f>COUNTIFS($I$4:$I$100,$P$26,$N$4:$N$100,$P29)</f>
        <v>0</v>
      </c>
      <c r="W14" s="27">
        <f>COUNTIFS($I$4:$I$100,$P$26,$N$4:$N$100,$P31)</f>
        <v>0</v>
      </c>
      <c r="X14" s="3">
        <f>COUNTIFS($I$4:$I$100,P26,$N$4:$N$100,P30)</f>
        <v>0</v>
      </c>
      <c r="Y14" s="168"/>
      <c r="Z14" s="168"/>
      <c r="AA14" s="168"/>
      <c r="AB14" s="168">
        <f>COUNTIFS($I$4:$I$100,$P$26,$N$4:$N$100,P7)</f>
        <v>0</v>
      </c>
      <c r="AC14" s="168"/>
      <c r="AD14" s="108">
        <f>COUNTIFS($I$4:$I$100,$P$26,$N$4:$N$100,$P9)</f>
        <v>0</v>
      </c>
      <c r="AE14" s="175">
        <f>COUNTIFS($I$4:$I$100,$P$26,$N$4:$N$100,$P10)</f>
        <v>0</v>
      </c>
      <c r="AF14" s="175">
        <f>COUNTIFS($I$4:$I$100,$P$26,$N$4:$N$100,$P11)</f>
        <v>2</v>
      </c>
      <c r="AG14" s="175">
        <f>COUNTIFS($I$4:$I$100,$P$26,$N$4:$N$100,$P12)</f>
        <v>0</v>
      </c>
      <c r="AH14" s="175">
        <f>COUNTIFS($I$4:$I$100,$P$26,$N$4:$N$100,$P13)</f>
        <v>0</v>
      </c>
      <c r="AI14" s="174">
        <f>COUNTIFS($I$4:$I$100,$P$26,$N$4:$N$100,$P14)</f>
        <v>0</v>
      </c>
      <c r="AJ14" s="174">
        <f>COUNTIFS($I$4:$I$100,$P$26,$N$4:$N$100,$P15)</f>
        <v>0</v>
      </c>
      <c r="AK14" s="174">
        <f>COUNTIFS($I$4:$I$100,$P$26,$N$4:$N$100,$P16)</f>
        <v>0</v>
      </c>
      <c r="AL14" s="174">
        <f>COUNTIFS($I$4:$I$100,$P$26,$N$4:$N$100,$P19)</f>
        <v>0</v>
      </c>
      <c r="AM14" s="174">
        <f>COUNTIFS($I$4:$I$100,$P$26,$N$4:$N$100,$P21)</f>
        <v>2</v>
      </c>
    </row>
    <row r="15" spans="2:78" ht="22.35" hidden="1" customHeight="1">
      <c r="B15" s="27">
        <f t="shared" si="0"/>
        <v>12</v>
      </c>
      <c r="C15" s="28" t="s">
        <v>1385</v>
      </c>
      <c r="D15" s="27" t="s">
        <v>1466</v>
      </c>
      <c r="E15" s="28"/>
      <c r="F15" s="27"/>
      <c r="G15" s="27">
        <f>TeamA!E21</f>
        <v>6</v>
      </c>
      <c r="H15" s="269">
        <f t="shared" si="1"/>
        <v>0.83333333333333337</v>
      </c>
      <c r="I15" s="28" t="str">
        <f>TeamA!AN21</f>
        <v>○</v>
      </c>
      <c r="J15" s="28" t="str">
        <f>TeamA!AO21</f>
        <v>○</v>
      </c>
      <c r="K15" s="182">
        <v>45322</v>
      </c>
      <c r="L15" s="182"/>
      <c r="M15" s="182">
        <v>45335</v>
      </c>
      <c r="N15" s="182">
        <v>45338</v>
      </c>
      <c r="O15" s="402" t="s">
        <v>1467</v>
      </c>
      <c r="P15" s="182">
        <v>45328</v>
      </c>
      <c r="Q15" s="27">
        <v>1</v>
      </c>
      <c r="R15" s="27">
        <v>1</v>
      </c>
      <c r="S15" s="268">
        <f t="shared" ca="1" si="2"/>
        <v>0</v>
      </c>
      <c r="U15" s="3" t="s">
        <v>168</v>
      </c>
      <c r="V15" s="27">
        <f>COUNTIFS($I$4:$I$100,$P$25,$N$4:$N$100,$P29)</f>
        <v>0</v>
      </c>
      <c r="W15" s="27">
        <f>COUNTIFS($I$4:$I$100,$P$25,$N$4:$N$100,$P31)</f>
        <v>0</v>
      </c>
      <c r="X15" s="3">
        <f>COUNTIFS($I$4:$I$100,P25,$N$4:$N$100,P30)</f>
        <v>0</v>
      </c>
      <c r="Y15" s="168"/>
      <c r="Z15" s="168"/>
      <c r="AA15" s="168"/>
      <c r="AB15" s="178">
        <f>COUNTIFS($I$4:$I$100,$P$25,$N$4:$N$100,P7)</f>
        <v>0</v>
      </c>
      <c r="AC15" s="168"/>
      <c r="AD15" s="175">
        <f>COUNTIFS($I$4:$I$100,$P$25,$N$4:$N$100,$P9)</f>
        <v>0</v>
      </c>
      <c r="AE15" s="108">
        <f>COUNTIFS($I$4:$I$100,$P$25,$N$4:$N$100,$P10)</f>
        <v>0</v>
      </c>
      <c r="AF15" s="175">
        <f>COUNTIFS($I$4:$I$100,$P$25,$N$4:$N$100,$P11)</f>
        <v>8</v>
      </c>
      <c r="AG15" s="108">
        <f>COUNTIFS($I$4:$I$100,$P$25,$N$4:$N$100,$P12)</f>
        <v>0</v>
      </c>
      <c r="AH15" s="108">
        <f>COUNTIFS($I$4:$I$100,$P$25,$N$4:$N$100,$P13)</f>
        <v>0</v>
      </c>
      <c r="AI15" s="171">
        <f>COUNTIFS($I$4:$I$100,$P$25,$N$4:$N$100,$P14)</f>
        <v>0</v>
      </c>
      <c r="AJ15" s="171">
        <f>COUNTIFS($I$4:$I$100,$P$25,$N$4:$N$100,$P15)</f>
        <v>3</v>
      </c>
      <c r="AK15" s="171">
        <f>COUNTIFS($I$4:$I$100,$P$25,$N$4:$N$100,$P16)</f>
        <v>1</v>
      </c>
      <c r="AL15" s="171">
        <f>COUNTIFS($I$4:$I$100,$P$25,$N$4:$N$100,$P19)</f>
        <v>2</v>
      </c>
      <c r="AM15" s="171">
        <f>COUNTIFS($I$4:$I$100,$P$25,$N$4:$N$100,$P21)</f>
        <v>0</v>
      </c>
    </row>
    <row r="16" spans="2:78" ht="11.1" hidden="1" customHeight="1">
      <c r="B16" s="27">
        <f t="shared" si="0"/>
        <v>13</v>
      </c>
      <c r="C16" s="28" t="s">
        <v>1385</v>
      </c>
      <c r="D16" s="24" t="s">
        <v>1468</v>
      </c>
      <c r="E16" s="268"/>
      <c r="F16" s="182">
        <v>45328</v>
      </c>
      <c r="G16" s="27">
        <f>TeamA!E22</f>
        <v>6</v>
      </c>
      <c r="H16" s="269">
        <f t="shared" si="1"/>
        <v>0.83333333333333337</v>
      </c>
      <c r="I16" s="28" t="str">
        <f>TeamA!AN22</f>
        <v>◎</v>
      </c>
      <c r="J16" s="28" t="str">
        <f>TeamA!AO22</f>
        <v>○</v>
      </c>
      <c r="K16" s="182">
        <v>45322</v>
      </c>
      <c r="L16" s="182"/>
      <c r="M16" s="182">
        <v>45330</v>
      </c>
      <c r="N16" s="182">
        <v>45335</v>
      </c>
      <c r="O16" s="229" t="s">
        <v>1469</v>
      </c>
      <c r="P16" s="182">
        <v>45329</v>
      </c>
      <c r="Q16" s="27">
        <v>1</v>
      </c>
      <c r="R16" s="27">
        <v>0</v>
      </c>
      <c r="S16" s="268">
        <f t="shared" ca="1" si="2"/>
        <v>0</v>
      </c>
      <c r="U16" s="3" t="s">
        <v>389</v>
      </c>
      <c r="V16" s="27">
        <f>COUNTIFS($I$4:$I$100,$P$24,$N$4:$N$100,$P29)</f>
        <v>0</v>
      </c>
      <c r="W16" s="27">
        <f>COUNTIFS($I$4:$I$100,$P$24,$N$4:$N$100,$P31)</f>
        <v>0</v>
      </c>
      <c r="X16" s="3">
        <f>COUNTIFS($I$4:$I$100,P24,$N$4:$N$100,P30)</f>
        <v>0</v>
      </c>
      <c r="Y16" s="168"/>
      <c r="Z16" s="168"/>
      <c r="AA16" s="168"/>
      <c r="AB16" s="176">
        <f>COUNTIFS($I$4:$I$100,$P$24,$N$4:$N$100,P7)</f>
        <v>0</v>
      </c>
      <c r="AC16" s="168"/>
      <c r="AD16" s="108">
        <f>COUNTIFS($I$4:$I$100,$P$24,$N$4:$N$100,$P9)</f>
        <v>0</v>
      </c>
      <c r="AE16" s="108">
        <f>COUNTIFS($I$4:$I$100,$P$24,$N$4:$N$100,$P10)</f>
        <v>0</v>
      </c>
      <c r="AF16" s="175">
        <f>COUNTIFS($I$4:$I$100,$P$24,$N$4:$N$100,$P11)</f>
        <v>6</v>
      </c>
      <c r="AG16" s="177">
        <f>COUNTIFS($I$4:$I$100,$P$24,$N$4:$N$100,$P12)</f>
        <v>0</v>
      </c>
      <c r="AH16" s="177">
        <f>COUNTIFS($I$4:$I$100,$P$24,$N$4:$N$100,$P13)</f>
        <v>1</v>
      </c>
      <c r="AI16" s="171">
        <f>COUNTIFS($I$4:$I$100,$P$24,$N$4:$N$100,$P14)</f>
        <v>0</v>
      </c>
      <c r="AJ16" s="171">
        <f>COUNTIFS($I$4:$I$100,$P$24,$N$4:$N$100,$P15)</f>
        <v>11</v>
      </c>
      <c r="AK16" s="171">
        <f>COUNTIFS($I$4:$I$100,$P$24,$N$4:$N$100,$P16)</f>
        <v>0</v>
      </c>
      <c r="AL16" s="171">
        <f>COUNTIFS($I$4:$I$100,$P$24,$N$4:$N$100,$P1)</f>
        <v>0</v>
      </c>
      <c r="AM16" s="171">
        <f>COUNTIFS($I$4:$I$100,$P$24,$N$4:$N$100,$P21)</f>
        <v>1</v>
      </c>
    </row>
    <row r="17" spans="2:48" ht="11.1" hidden="1" customHeight="1">
      <c r="B17" s="27">
        <f t="shared" si="0"/>
        <v>14</v>
      </c>
      <c r="C17" s="28" t="s">
        <v>1385</v>
      </c>
      <c r="D17" s="27" t="s">
        <v>1470</v>
      </c>
      <c r="E17" s="28"/>
      <c r="F17" s="182">
        <v>45328</v>
      </c>
      <c r="G17" s="27">
        <f>TeamA!E23</f>
        <v>6</v>
      </c>
      <c r="H17" s="269">
        <f t="shared" si="1"/>
        <v>1</v>
      </c>
      <c r="I17" s="28" t="str">
        <f>TeamA!AN23</f>
        <v>◎</v>
      </c>
      <c r="J17" s="28" t="str">
        <f>TeamA!AO23</f>
        <v>◎</v>
      </c>
      <c r="K17" s="182">
        <v>45322</v>
      </c>
      <c r="L17" s="182">
        <v>45327</v>
      </c>
      <c r="M17" s="182" t="s">
        <v>230</v>
      </c>
      <c r="N17" s="182">
        <v>45328</v>
      </c>
      <c r="O17" s="29"/>
      <c r="P17" s="182">
        <v>45330</v>
      </c>
      <c r="Q17" s="27">
        <v>0</v>
      </c>
      <c r="R17" s="27">
        <v>0</v>
      </c>
      <c r="S17" s="268">
        <f t="shared" ca="1" si="2"/>
        <v>0</v>
      </c>
      <c r="U17" s="172" t="s">
        <v>1451</v>
      </c>
      <c r="V17" s="172">
        <f>SUM(V13:V16)</f>
        <v>0</v>
      </c>
      <c r="W17" s="172">
        <f>SUM(W13:W16)</f>
        <v>0</v>
      </c>
      <c r="X17" s="172">
        <f>SUM(X13:X16)</f>
        <v>0</v>
      </c>
      <c r="Y17" s="537">
        <f>SUM(Y13:AC16)</f>
        <v>0</v>
      </c>
      <c r="Z17" s="537"/>
      <c r="AA17" s="537"/>
      <c r="AB17" s="537"/>
      <c r="AC17" s="537"/>
      <c r="AD17" s="547">
        <f>SUM(AD13:AH16)</f>
        <v>17</v>
      </c>
      <c r="AE17" s="548"/>
      <c r="AF17" s="548"/>
      <c r="AG17" s="548"/>
      <c r="AH17" s="549"/>
      <c r="AI17" s="552">
        <f>SUM(AI13:AK16)</f>
        <v>15</v>
      </c>
      <c r="AJ17" s="553"/>
      <c r="AK17" s="554"/>
      <c r="AL17" s="546">
        <f>SUM(AL13:AM16)</f>
        <v>5</v>
      </c>
      <c r="AM17" s="546"/>
      <c r="AO17">
        <f>SUM(V17:AM17)</f>
        <v>37</v>
      </c>
    </row>
    <row r="18" spans="2:48" ht="11.1" hidden="1" customHeight="1">
      <c r="B18" s="27">
        <f t="shared" si="0"/>
        <v>15</v>
      </c>
      <c r="C18" s="28" t="s">
        <v>1385</v>
      </c>
      <c r="D18" s="27" t="s">
        <v>1471</v>
      </c>
      <c r="E18" s="28"/>
      <c r="F18" s="182">
        <v>45322</v>
      </c>
      <c r="G18" s="27">
        <f>TeamA!E24</f>
        <v>7</v>
      </c>
      <c r="H18" s="269">
        <f t="shared" si="1"/>
        <v>1</v>
      </c>
      <c r="I18" s="28" t="str">
        <f>TeamA!AN24</f>
        <v>◎</v>
      </c>
      <c r="J18" s="28" t="str">
        <f>TeamA!AO24</f>
        <v>◎</v>
      </c>
      <c r="K18" s="182">
        <v>45322</v>
      </c>
      <c r="L18" s="182">
        <v>45331</v>
      </c>
      <c r="M18" s="182" t="s">
        <v>230</v>
      </c>
      <c r="N18" s="182">
        <v>45331</v>
      </c>
      <c r="O18" s="27"/>
      <c r="P18" s="182">
        <v>45331</v>
      </c>
      <c r="Q18" s="27">
        <v>0</v>
      </c>
      <c r="R18" s="27">
        <v>0</v>
      </c>
      <c r="S18" s="268">
        <f t="shared" ca="1" si="2"/>
        <v>0</v>
      </c>
    </row>
    <row r="19" spans="2:48" ht="11.1" hidden="1" customHeight="1">
      <c r="B19" s="27">
        <f t="shared" si="0"/>
        <v>16</v>
      </c>
      <c r="C19" s="28" t="s">
        <v>1385</v>
      </c>
      <c r="D19" s="27" t="s">
        <v>1472</v>
      </c>
      <c r="E19" s="28"/>
      <c r="F19" s="182">
        <v>45328</v>
      </c>
      <c r="G19" s="27">
        <f>TeamA!E25</f>
        <v>5</v>
      </c>
      <c r="H19" s="269">
        <f t="shared" si="1"/>
        <v>1</v>
      </c>
      <c r="I19" s="28" t="str">
        <f>TeamA!AN25</f>
        <v>◎</v>
      </c>
      <c r="J19" s="28" t="str">
        <f>TeamA!AO25</f>
        <v>○</v>
      </c>
      <c r="K19" s="182">
        <v>45323</v>
      </c>
      <c r="L19" s="182">
        <v>45327</v>
      </c>
      <c r="M19" s="182" t="s">
        <v>230</v>
      </c>
      <c r="N19" s="182">
        <v>45328</v>
      </c>
      <c r="O19" s="29"/>
      <c r="P19" s="182">
        <v>45334</v>
      </c>
      <c r="Q19" s="27">
        <v>0</v>
      </c>
      <c r="R19" s="27">
        <v>0</v>
      </c>
      <c r="S19" s="268">
        <f t="shared" ca="1" si="2"/>
        <v>0</v>
      </c>
    </row>
    <row r="20" spans="2:48" ht="11.1" hidden="1" customHeight="1">
      <c r="B20" s="27">
        <f t="shared" si="0"/>
        <v>17</v>
      </c>
      <c r="C20" s="28" t="s">
        <v>1385</v>
      </c>
      <c r="D20" s="24" t="s">
        <v>1473</v>
      </c>
      <c r="E20" s="268"/>
      <c r="F20" s="182">
        <v>45328</v>
      </c>
      <c r="G20" s="27">
        <f>TeamA!E26</f>
        <v>6</v>
      </c>
      <c r="H20" s="269">
        <f t="shared" si="1"/>
        <v>1</v>
      </c>
      <c r="I20" s="28" t="str">
        <f>TeamA!AN26</f>
        <v>◎</v>
      </c>
      <c r="J20" s="28" t="str">
        <f>TeamA!AO26</f>
        <v>○</v>
      </c>
      <c r="K20" s="182">
        <v>45322</v>
      </c>
      <c r="L20" s="182"/>
      <c r="M20" s="182">
        <v>45334</v>
      </c>
      <c r="N20" s="182">
        <v>45328</v>
      </c>
      <c r="O20" s="27"/>
      <c r="P20" s="182">
        <v>45335</v>
      </c>
      <c r="Q20" s="27">
        <v>0</v>
      </c>
      <c r="R20" s="27">
        <v>0</v>
      </c>
      <c r="S20" s="268">
        <f t="shared" ca="1" si="2"/>
        <v>0</v>
      </c>
      <c r="U20" s="172" t="s">
        <v>1430</v>
      </c>
      <c r="V20" s="3"/>
      <c r="W20" s="3"/>
      <c r="X20" s="3"/>
      <c r="Y20" s="276">
        <v>45322</v>
      </c>
      <c r="Z20" s="276">
        <v>45323</v>
      </c>
      <c r="AA20" s="276">
        <v>45324</v>
      </c>
      <c r="AB20" s="276">
        <v>45325</v>
      </c>
      <c r="AC20" s="276">
        <v>45326</v>
      </c>
      <c r="AD20" s="276">
        <v>45327</v>
      </c>
      <c r="AE20" s="276">
        <v>45328</v>
      </c>
      <c r="AF20" s="276">
        <v>45329</v>
      </c>
      <c r="AG20" s="276">
        <v>45330</v>
      </c>
      <c r="AH20" s="276">
        <v>45331</v>
      </c>
      <c r="AI20" s="276">
        <v>45332</v>
      </c>
      <c r="AJ20" s="276">
        <v>45333</v>
      </c>
      <c r="AK20" s="276">
        <v>45334</v>
      </c>
      <c r="AL20" s="276">
        <v>45335</v>
      </c>
      <c r="AM20" s="276">
        <v>45336</v>
      </c>
      <c r="AN20" s="276">
        <v>45337</v>
      </c>
      <c r="AO20" s="276">
        <v>45338</v>
      </c>
      <c r="AP20" s="276">
        <v>45339</v>
      </c>
      <c r="AQ20" s="276">
        <v>45340</v>
      </c>
      <c r="AR20" s="276">
        <v>45341</v>
      </c>
      <c r="AS20" s="276">
        <v>45342</v>
      </c>
      <c r="AT20" s="276">
        <v>45343</v>
      </c>
      <c r="AU20" s="276">
        <v>45344</v>
      </c>
      <c r="AV20" s="276">
        <v>45345</v>
      </c>
    </row>
    <row r="21" spans="2:48" ht="11.1" hidden="1" customHeight="1">
      <c r="B21" s="27">
        <f t="shared" si="0"/>
        <v>18</v>
      </c>
      <c r="C21" s="28" t="s">
        <v>1385</v>
      </c>
      <c r="D21" s="27" t="s">
        <v>1474</v>
      </c>
      <c r="E21" s="28"/>
      <c r="F21" s="182">
        <v>45328</v>
      </c>
      <c r="G21" s="27">
        <f>TeamA!E27</f>
        <v>6</v>
      </c>
      <c r="H21" s="269">
        <f t="shared" si="1"/>
        <v>1</v>
      </c>
      <c r="I21" s="28" t="str">
        <f>TeamA!AN27</f>
        <v>◎</v>
      </c>
      <c r="J21" s="28" t="str">
        <f>TeamA!AO27</f>
        <v>○</v>
      </c>
      <c r="K21" s="182">
        <v>45322</v>
      </c>
      <c r="L21" s="182">
        <v>45324</v>
      </c>
      <c r="M21" s="182" t="s">
        <v>230</v>
      </c>
      <c r="N21" s="182">
        <v>45324</v>
      </c>
      <c r="O21" s="27"/>
      <c r="P21" s="182">
        <v>45336</v>
      </c>
      <c r="Q21" s="27">
        <v>0</v>
      </c>
      <c r="R21" s="27">
        <v>0</v>
      </c>
      <c r="S21" s="268">
        <f t="shared" ca="1" si="2"/>
        <v>0</v>
      </c>
      <c r="U21" s="3" t="s">
        <v>174</v>
      </c>
      <c r="V21" s="3"/>
      <c r="W21" s="3"/>
      <c r="X21" s="3"/>
      <c r="Y21" s="3">
        <f t="shared" ref="Y21:Y24" si="7">COUNTIFS($I$4:$I$100,$U21,$N$4:$N$100,Y$20)</f>
        <v>2</v>
      </c>
      <c r="Z21" s="3">
        <f t="shared" ref="Z21:AI24" si="8">COUNTIFS($I$4:$I$100,$U21,$N$4:$N$100,Z$20)</f>
        <v>0</v>
      </c>
      <c r="AA21" s="3">
        <f t="shared" si="8"/>
        <v>0</v>
      </c>
      <c r="AB21" s="3">
        <f t="shared" si="8"/>
        <v>0</v>
      </c>
      <c r="AC21" s="3">
        <f t="shared" si="8"/>
        <v>0</v>
      </c>
      <c r="AD21" s="3">
        <f t="shared" si="8"/>
        <v>0</v>
      </c>
      <c r="AE21" s="3">
        <f t="shared" si="8"/>
        <v>0</v>
      </c>
      <c r="AF21" s="3">
        <f t="shared" si="8"/>
        <v>0</v>
      </c>
      <c r="AG21" s="3">
        <f t="shared" si="8"/>
        <v>1</v>
      </c>
      <c r="AH21" s="3">
        <f t="shared" si="8"/>
        <v>0</v>
      </c>
      <c r="AI21" s="3">
        <f t="shared" si="8"/>
        <v>0</v>
      </c>
      <c r="AJ21" s="3">
        <f t="shared" ref="AJ21:AV24" si="9">COUNTIFS($I$4:$I$100,$U21,$N$4:$N$100,AJ$20)</f>
        <v>0</v>
      </c>
      <c r="AK21" s="3">
        <f t="shared" si="9"/>
        <v>0</v>
      </c>
      <c r="AL21" s="3">
        <f t="shared" si="9"/>
        <v>3</v>
      </c>
      <c r="AM21" s="3">
        <f t="shared" si="9"/>
        <v>2</v>
      </c>
      <c r="AN21" s="3">
        <f t="shared" si="9"/>
        <v>0</v>
      </c>
      <c r="AO21" s="3">
        <f t="shared" si="9"/>
        <v>6</v>
      </c>
      <c r="AP21" s="3">
        <f t="shared" si="9"/>
        <v>0</v>
      </c>
      <c r="AQ21" s="3">
        <f t="shared" si="9"/>
        <v>0</v>
      </c>
      <c r="AR21" s="3">
        <f t="shared" si="9"/>
        <v>2</v>
      </c>
      <c r="AS21" s="3">
        <f t="shared" si="9"/>
        <v>3</v>
      </c>
      <c r="AT21" s="3">
        <f t="shared" si="9"/>
        <v>0</v>
      </c>
      <c r="AU21" s="3">
        <f t="shared" si="9"/>
        <v>1</v>
      </c>
      <c r="AV21" s="3">
        <f t="shared" si="9"/>
        <v>0</v>
      </c>
    </row>
    <row r="22" spans="2:48" ht="11.85" hidden="1" customHeight="1">
      <c r="B22" s="27">
        <f t="shared" si="0"/>
        <v>19</v>
      </c>
      <c r="C22" s="28" t="s">
        <v>1386</v>
      </c>
      <c r="D22" s="27" t="s">
        <v>451</v>
      </c>
      <c r="E22" s="28"/>
      <c r="F22" s="182">
        <v>45322</v>
      </c>
      <c r="G22" s="27">
        <f>TeamB!E10</f>
        <v>4</v>
      </c>
      <c r="H22" s="269">
        <f t="shared" si="1"/>
        <v>1</v>
      </c>
      <c r="I22" s="28" t="str">
        <f>TeamB!AN10</f>
        <v>◎</v>
      </c>
      <c r="J22" s="28" t="str">
        <f>TeamB!AO10</f>
        <v>○</v>
      </c>
      <c r="K22" s="182">
        <v>45322</v>
      </c>
      <c r="L22" s="182">
        <v>45327</v>
      </c>
      <c r="M22" s="182" t="s">
        <v>230</v>
      </c>
      <c r="N22" s="182">
        <v>45322</v>
      </c>
      <c r="O22" s="27"/>
      <c r="P22" s="182"/>
      <c r="Q22" s="27">
        <v>0</v>
      </c>
      <c r="R22" s="27">
        <v>0</v>
      </c>
      <c r="S22" s="268">
        <f t="shared" ca="1" si="2"/>
        <v>0</v>
      </c>
      <c r="U22" s="3" t="s">
        <v>174</v>
      </c>
      <c r="V22" s="3"/>
      <c r="W22" s="3"/>
      <c r="X22" s="3"/>
      <c r="Y22" s="3">
        <f t="shared" si="7"/>
        <v>2</v>
      </c>
      <c r="Z22" s="3">
        <f t="shared" si="8"/>
        <v>0</v>
      </c>
      <c r="AA22" s="3">
        <f t="shared" si="8"/>
        <v>0</v>
      </c>
      <c r="AB22" s="3">
        <f t="shared" si="8"/>
        <v>0</v>
      </c>
      <c r="AC22" s="3">
        <f t="shared" si="8"/>
        <v>0</v>
      </c>
      <c r="AD22" s="3">
        <f t="shared" si="8"/>
        <v>0</v>
      </c>
      <c r="AE22" s="3">
        <f t="shared" si="8"/>
        <v>0</v>
      </c>
      <c r="AF22" s="3">
        <f t="shared" si="8"/>
        <v>0</v>
      </c>
      <c r="AG22" s="3">
        <f t="shared" si="8"/>
        <v>1</v>
      </c>
      <c r="AH22" s="3">
        <f t="shared" si="8"/>
        <v>0</v>
      </c>
      <c r="AI22" s="3">
        <f t="shared" si="8"/>
        <v>0</v>
      </c>
      <c r="AJ22" s="3">
        <f t="shared" si="9"/>
        <v>0</v>
      </c>
      <c r="AK22" s="3">
        <f t="shared" si="9"/>
        <v>0</v>
      </c>
      <c r="AL22" s="3">
        <f t="shared" si="9"/>
        <v>3</v>
      </c>
      <c r="AM22" s="3">
        <f t="shared" si="9"/>
        <v>2</v>
      </c>
      <c r="AN22" s="3">
        <f t="shared" si="9"/>
        <v>0</v>
      </c>
      <c r="AO22" s="3">
        <f t="shared" si="9"/>
        <v>6</v>
      </c>
      <c r="AP22" s="3">
        <f t="shared" si="9"/>
        <v>0</v>
      </c>
      <c r="AQ22" s="3">
        <f t="shared" si="9"/>
        <v>0</v>
      </c>
      <c r="AR22" s="3">
        <f t="shared" si="9"/>
        <v>2</v>
      </c>
      <c r="AS22" s="3">
        <f t="shared" si="9"/>
        <v>3</v>
      </c>
      <c r="AT22" s="3">
        <f t="shared" si="9"/>
        <v>0</v>
      </c>
      <c r="AU22" s="3">
        <f t="shared" si="9"/>
        <v>1</v>
      </c>
      <c r="AV22" s="3">
        <f t="shared" si="9"/>
        <v>0</v>
      </c>
    </row>
    <row r="23" spans="2:48" ht="11.1" hidden="1" customHeight="1">
      <c r="B23" s="27">
        <f t="shared" si="0"/>
        <v>20</v>
      </c>
      <c r="C23" s="28" t="s">
        <v>1386</v>
      </c>
      <c r="D23" s="27" t="s">
        <v>1475</v>
      </c>
      <c r="E23" s="28"/>
      <c r="F23" s="182">
        <v>45322</v>
      </c>
      <c r="G23" s="27">
        <f>TeamB!E11</f>
        <v>7</v>
      </c>
      <c r="H23" s="269">
        <f t="shared" si="1"/>
        <v>1</v>
      </c>
      <c r="I23" s="28" t="str">
        <f>TeamB!AN11</f>
        <v>◎</v>
      </c>
      <c r="J23" s="28" t="str">
        <f>TeamB!AO11</f>
        <v>○</v>
      </c>
      <c r="K23" s="182">
        <v>45322</v>
      </c>
      <c r="L23" s="182">
        <v>45323</v>
      </c>
      <c r="M23" s="182" t="s">
        <v>230</v>
      </c>
      <c r="N23" s="182">
        <v>45322</v>
      </c>
      <c r="O23" s="27"/>
      <c r="P23" s="27"/>
      <c r="Q23" s="27">
        <v>0</v>
      </c>
      <c r="R23" s="27">
        <v>0</v>
      </c>
      <c r="S23" s="268">
        <f t="shared" ca="1" si="2"/>
        <v>0</v>
      </c>
      <c r="U23" s="3" t="s">
        <v>168</v>
      </c>
      <c r="V23" s="3"/>
      <c r="W23" s="3"/>
      <c r="X23" s="3"/>
      <c r="Y23" s="3">
        <f t="shared" si="7"/>
        <v>8</v>
      </c>
      <c r="Z23" s="3">
        <f t="shared" si="8"/>
        <v>0</v>
      </c>
      <c r="AA23" s="3">
        <f t="shared" si="8"/>
        <v>0</v>
      </c>
      <c r="AB23" s="3">
        <f t="shared" si="8"/>
        <v>0</v>
      </c>
      <c r="AC23" s="3">
        <f t="shared" si="8"/>
        <v>0</v>
      </c>
      <c r="AD23" s="3">
        <f t="shared" si="8"/>
        <v>0</v>
      </c>
      <c r="AE23" s="3">
        <f t="shared" si="8"/>
        <v>3</v>
      </c>
      <c r="AF23" s="3">
        <f t="shared" si="8"/>
        <v>1</v>
      </c>
      <c r="AG23" s="3">
        <f t="shared" si="8"/>
        <v>1</v>
      </c>
      <c r="AH23" s="3">
        <f t="shared" si="8"/>
        <v>3</v>
      </c>
      <c r="AI23" s="3">
        <f t="shared" si="8"/>
        <v>0</v>
      </c>
      <c r="AJ23" s="3">
        <f t="shared" si="9"/>
        <v>0</v>
      </c>
      <c r="AK23" s="3">
        <f t="shared" si="9"/>
        <v>2</v>
      </c>
      <c r="AL23" s="3">
        <f t="shared" si="9"/>
        <v>0</v>
      </c>
      <c r="AM23" s="3">
        <f t="shared" si="9"/>
        <v>0</v>
      </c>
      <c r="AN23" s="3">
        <f t="shared" si="9"/>
        <v>6</v>
      </c>
      <c r="AO23" s="3">
        <f t="shared" si="9"/>
        <v>4</v>
      </c>
      <c r="AP23" s="3">
        <f t="shared" si="9"/>
        <v>0</v>
      </c>
      <c r="AQ23" s="3">
        <f t="shared" si="9"/>
        <v>0</v>
      </c>
      <c r="AR23" s="3">
        <f t="shared" si="9"/>
        <v>2</v>
      </c>
      <c r="AS23" s="3">
        <f t="shared" si="9"/>
        <v>0</v>
      </c>
      <c r="AT23" s="3">
        <f t="shared" si="9"/>
        <v>0</v>
      </c>
      <c r="AU23" s="3">
        <f t="shared" si="9"/>
        <v>0</v>
      </c>
      <c r="AV23" s="3">
        <f t="shared" si="9"/>
        <v>0</v>
      </c>
    </row>
    <row r="24" spans="2:48" ht="11.1" hidden="1" customHeight="1">
      <c r="B24" s="27">
        <f t="shared" si="0"/>
        <v>21</v>
      </c>
      <c r="C24" s="28" t="s">
        <v>1386</v>
      </c>
      <c r="D24" s="27" t="s">
        <v>1476</v>
      </c>
      <c r="E24" s="28"/>
      <c r="F24" s="182">
        <v>45328</v>
      </c>
      <c r="G24" s="27">
        <f>TeamB!E12</f>
        <v>6</v>
      </c>
      <c r="H24" s="269">
        <f t="shared" si="1"/>
        <v>1</v>
      </c>
      <c r="I24" s="28" t="str">
        <f>TeamB!AN12</f>
        <v>○</v>
      </c>
      <c r="J24" s="28" t="str">
        <f>TeamB!AO12</f>
        <v>○</v>
      </c>
      <c r="K24" s="182">
        <v>45322</v>
      </c>
      <c r="L24" s="283"/>
      <c r="M24" s="182" t="s">
        <v>230</v>
      </c>
      <c r="N24" s="182">
        <v>45349</v>
      </c>
      <c r="O24" s="229"/>
      <c r="P24" s="28" t="s">
        <v>389</v>
      </c>
      <c r="Q24" s="27">
        <v>0</v>
      </c>
      <c r="R24" s="27">
        <v>0</v>
      </c>
      <c r="S24" s="268">
        <f t="shared" ca="1" si="2"/>
        <v>0</v>
      </c>
      <c r="U24" s="3" t="s">
        <v>389</v>
      </c>
      <c r="V24" s="3"/>
      <c r="W24" s="3"/>
      <c r="X24" s="3"/>
      <c r="Y24" s="3">
        <f t="shared" si="7"/>
        <v>6</v>
      </c>
      <c r="Z24" s="3">
        <f t="shared" si="8"/>
        <v>0</v>
      </c>
      <c r="AA24" s="3">
        <f t="shared" si="8"/>
        <v>1</v>
      </c>
      <c r="AB24" s="3">
        <f t="shared" si="8"/>
        <v>0</v>
      </c>
      <c r="AC24" s="3">
        <f t="shared" si="8"/>
        <v>0</v>
      </c>
      <c r="AD24" s="3">
        <f t="shared" si="8"/>
        <v>0</v>
      </c>
      <c r="AE24" s="3">
        <f t="shared" si="8"/>
        <v>11</v>
      </c>
      <c r="AF24" s="3">
        <f t="shared" si="8"/>
        <v>0</v>
      </c>
      <c r="AG24" s="3">
        <f t="shared" si="8"/>
        <v>0</v>
      </c>
      <c r="AH24" s="3">
        <f t="shared" si="8"/>
        <v>2</v>
      </c>
      <c r="AI24" s="3">
        <f t="shared" si="8"/>
        <v>0</v>
      </c>
      <c r="AJ24" s="3">
        <f t="shared" si="9"/>
        <v>0</v>
      </c>
      <c r="AK24" s="3">
        <f t="shared" si="9"/>
        <v>2</v>
      </c>
      <c r="AL24" s="3">
        <f t="shared" si="9"/>
        <v>4</v>
      </c>
      <c r="AM24" s="3">
        <f t="shared" si="9"/>
        <v>1</v>
      </c>
      <c r="AN24" s="3">
        <f t="shared" si="9"/>
        <v>1</v>
      </c>
      <c r="AO24" s="3">
        <f t="shared" si="9"/>
        <v>1</v>
      </c>
      <c r="AP24" s="3">
        <f t="shared" si="9"/>
        <v>0</v>
      </c>
      <c r="AQ24" s="3">
        <f t="shared" si="9"/>
        <v>0</v>
      </c>
      <c r="AR24" s="3">
        <f t="shared" si="9"/>
        <v>0</v>
      </c>
      <c r="AS24" s="3">
        <f t="shared" si="9"/>
        <v>0</v>
      </c>
      <c r="AT24" s="3">
        <f t="shared" si="9"/>
        <v>0</v>
      </c>
      <c r="AU24" s="3">
        <f t="shared" si="9"/>
        <v>0</v>
      </c>
      <c r="AV24" s="3">
        <f t="shared" si="9"/>
        <v>0</v>
      </c>
    </row>
    <row r="25" spans="2:48" ht="22.35" hidden="1" customHeight="1">
      <c r="B25" s="27">
        <f t="shared" si="0"/>
        <v>22</v>
      </c>
      <c r="C25" s="28" t="s">
        <v>1386</v>
      </c>
      <c r="D25" s="27" t="s">
        <v>1477</v>
      </c>
      <c r="E25" s="28"/>
      <c r="F25" s="284">
        <v>45344</v>
      </c>
      <c r="G25" s="27">
        <f>TeamB!E13</f>
        <v>7</v>
      </c>
      <c r="H25" s="269">
        <f t="shared" si="1"/>
        <v>1</v>
      </c>
      <c r="I25" s="28" t="str">
        <f>TeamB!AN13</f>
        <v>◎</v>
      </c>
      <c r="J25" s="271" t="str">
        <f>TeamB!AO13</f>
        <v>○</v>
      </c>
      <c r="K25" s="182">
        <v>45327</v>
      </c>
      <c r="L25" s="182"/>
      <c r="M25" s="182">
        <v>45331</v>
      </c>
      <c r="N25" s="182">
        <v>45336</v>
      </c>
      <c r="O25" s="29"/>
      <c r="P25" s="28" t="s">
        <v>168</v>
      </c>
      <c r="Q25" s="27">
        <v>0</v>
      </c>
      <c r="R25" s="27">
        <v>0</v>
      </c>
      <c r="S25" s="268">
        <f t="shared" ca="1" si="2"/>
        <v>0</v>
      </c>
      <c r="U25" s="172" t="s">
        <v>1451</v>
      </c>
      <c r="V25" s="3"/>
      <c r="W25" s="3"/>
      <c r="X25" s="3"/>
      <c r="Y25" s="3">
        <f>SUM(Y21:Y24)</f>
        <v>18</v>
      </c>
      <c r="Z25" s="3">
        <f t="shared" ref="Z25:AV25" si="10">SUM(Z21:Z24)</f>
        <v>0</v>
      </c>
      <c r="AA25" s="3">
        <f t="shared" si="10"/>
        <v>1</v>
      </c>
      <c r="AB25" s="3">
        <f t="shared" si="10"/>
        <v>0</v>
      </c>
      <c r="AC25" s="3">
        <f t="shared" si="10"/>
        <v>0</v>
      </c>
      <c r="AD25" s="3">
        <f t="shared" si="10"/>
        <v>0</v>
      </c>
      <c r="AE25" s="3">
        <f t="shared" si="10"/>
        <v>14</v>
      </c>
      <c r="AF25" s="3">
        <f t="shared" si="10"/>
        <v>1</v>
      </c>
      <c r="AG25" s="3">
        <f t="shared" si="10"/>
        <v>3</v>
      </c>
      <c r="AH25" s="3">
        <f t="shared" si="10"/>
        <v>5</v>
      </c>
      <c r="AI25" s="3">
        <f t="shared" si="10"/>
        <v>0</v>
      </c>
      <c r="AJ25" s="3">
        <f t="shared" si="10"/>
        <v>0</v>
      </c>
      <c r="AK25" s="3">
        <f t="shared" si="10"/>
        <v>4</v>
      </c>
      <c r="AL25" s="3">
        <f t="shared" si="10"/>
        <v>10</v>
      </c>
      <c r="AM25" s="3">
        <f t="shared" si="10"/>
        <v>5</v>
      </c>
      <c r="AN25" s="3">
        <f t="shared" si="10"/>
        <v>7</v>
      </c>
      <c r="AO25" s="3">
        <f t="shared" si="10"/>
        <v>17</v>
      </c>
      <c r="AP25" s="3">
        <f t="shared" si="10"/>
        <v>0</v>
      </c>
      <c r="AQ25" s="3">
        <f t="shared" si="10"/>
        <v>0</v>
      </c>
      <c r="AR25" s="3">
        <f t="shared" si="10"/>
        <v>6</v>
      </c>
      <c r="AS25" s="3">
        <f t="shared" si="10"/>
        <v>6</v>
      </c>
      <c r="AT25" s="3">
        <f t="shared" si="10"/>
        <v>0</v>
      </c>
      <c r="AU25" s="3">
        <f t="shared" si="10"/>
        <v>2</v>
      </c>
      <c r="AV25" s="3">
        <f t="shared" si="10"/>
        <v>0</v>
      </c>
    </row>
    <row r="26" spans="2:48" ht="11.1" hidden="1" customHeight="1">
      <c r="B26" s="27">
        <f t="shared" si="0"/>
        <v>23</v>
      </c>
      <c r="C26" s="28" t="s">
        <v>1386</v>
      </c>
      <c r="D26" s="27" t="s">
        <v>1478</v>
      </c>
      <c r="E26" s="28"/>
      <c r="F26" s="182">
        <v>45328</v>
      </c>
      <c r="G26" s="27">
        <f>TeamB!E14</f>
        <v>7</v>
      </c>
      <c r="H26" s="269">
        <f t="shared" si="1"/>
        <v>1</v>
      </c>
      <c r="I26" s="28" t="str">
        <f>TeamB!AN14</f>
        <v>○</v>
      </c>
      <c r="J26" s="271" t="str">
        <f>TeamB!AO14</f>
        <v>○</v>
      </c>
      <c r="K26" s="27"/>
      <c r="L26" s="182">
        <v>45328</v>
      </c>
      <c r="M26" s="182" t="s">
        <v>230</v>
      </c>
      <c r="N26" s="182">
        <v>45328</v>
      </c>
      <c r="O26" s="27"/>
      <c r="P26" s="28" t="s">
        <v>174</v>
      </c>
      <c r="Q26" s="27">
        <v>0</v>
      </c>
      <c r="R26" s="27">
        <v>0</v>
      </c>
      <c r="S26" s="268">
        <f t="shared" ca="1" si="2"/>
        <v>0</v>
      </c>
    </row>
    <row r="27" spans="2:48" ht="11.1" hidden="1" customHeight="1">
      <c r="B27" s="27">
        <f t="shared" si="0"/>
        <v>24</v>
      </c>
      <c r="C27" s="28" t="s">
        <v>1386</v>
      </c>
      <c r="D27" s="27" t="s">
        <v>1479</v>
      </c>
      <c r="E27" s="28"/>
      <c r="F27" s="182">
        <v>45322</v>
      </c>
      <c r="G27" s="27">
        <f>TeamB!E15</f>
        <v>5</v>
      </c>
      <c r="H27" s="269">
        <f t="shared" si="1"/>
        <v>1</v>
      </c>
      <c r="I27" s="28" t="str">
        <f>TeamB!AN15</f>
        <v>◎</v>
      </c>
      <c r="J27" s="271" t="str">
        <f>TeamB!AO15</f>
        <v>○</v>
      </c>
      <c r="K27" s="182">
        <v>45322</v>
      </c>
      <c r="L27" s="182">
        <v>45330</v>
      </c>
      <c r="M27" s="182" t="s">
        <v>230</v>
      </c>
      <c r="N27" s="182">
        <v>45334</v>
      </c>
      <c r="O27" s="29"/>
      <c r="P27" s="28" t="s">
        <v>178</v>
      </c>
      <c r="Q27" s="27">
        <v>0</v>
      </c>
      <c r="R27" s="27">
        <v>0</v>
      </c>
      <c r="S27" s="268">
        <f t="shared" ca="1" si="2"/>
        <v>0</v>
      </c>
    </row>
    <row r="28" spans="2:48" ht="11.1" hidden="1" customHeight="1">
      <c r="B28" s="27">
        <f t="shared" si="0"/>
        <v>25</v>
      </c>
      <c r="C28" s="28" t="s">
        <v>1386</v>
      </c>
      <c r="D28" s="27" t="s">
        <v>1480</v>
      </c>
      <c r="E28" s="28"/>
      <c r="F28" s="284">
        <v>45344</v>
      </c>
      <c r="G28" s="27">
        <f>TeamB!E16</f>
        <v>7</v>
      </c>
      <c r="H28" s="269">
        <f t="shared" si="1"/>
        <v>1</v>
      </c>
      <c r="I28" s="28" t="str">
        <f>TeamB!AN16</f>
        <v>◎</v>
      </c>
      <c r="J28" s="271" t="str">
        <f>TeamB!AO16</f>
        <v>○</v>
      </c>
      <c r="K28" s="182">
        <v>45322</v>
      </c>
      <c r="L28" s="182"/>
      <c r="M28" s="182" t="s">
        <v>230</v>
      </c>
      <c r="N28" s="182">
        <v>45334</v>
      </c>
      <c r="O28" s="229"/>
      <c r="P28" s="28"/>
      <c r="Q28" s="27">
        <v>0</v>
      </c>
      <c r="R28" s="27">
        <v>0</v>
      </c>
      <c r="S28" s="268">
        <f t="shared" ca="1" si="2"/>
        <v>0</v>
      </c>
    </row>
    <row r="29" spans="2:48" ht="11.1" hidden="1" customHeight="1">
      <c r="B29" s="27">
        <f t="shared" si="0"/>
        <v>26</v>
      </c>
      <c r="C29" s="28" t="s">
        <v>1386</v>
      </c>
      <c r="D29" s="27" t="s">
        <v>1481</v>
      </c>
      <c r="E29" s="28"/>
      <c r="F29" s="182">
        <v>45322</v>
      </c>
      <c r="G29" s="27">
        <f>TeamB!E17</f>
        <v>7</v>
      </c>
      <c r="H29" s="269">
        <f t="shared" si="1"/>
        <v>1</v>
      </c>
      <c r="I29" s="28" t="str">
        <f>TeamB!AN17</f>
        <v>◎</v>
      </c>
      <c r="J29" s="271" t="str">
        <f>TeamB!AO17</f>
        <v>○</v>
      </c>
      <c r="K29" s="27"/>
      <c r="L29" s="182">
        <v>45322</v>
      </c>
      <c r="M29" s="182" t="s">
        <v>230</v>
      </c>
      <c r="N29" s="182">
        <v>45322</v>
      </c>
      <c r="O29" s="27"/>
      <c r="P29" s="182" t="s">
        <v>1482</v>
      </c>
      <c r="Q29" s="27">
        <v>0</v>
      </c>
      <c r="R29" s="27">
        <v>0</v>
      </c>
      <c r="S29" s="268">
        <f t="shared" ca="1" si="2"/>
        <v>0</v>
      </c>
    </row>
    <row r="30" spans="2:48" ht="11.1" hidden="1" customHeight="1">
      <c r="B30" s="27">
        <f t="shared" si="0"/>
        <v>27</v>
      </c>
      <c r="C30" s="28" t="s">
        <v>1386</v>
      </c>
      <c r="D30" s="27" t="s">
        <v>1483</v>
      </c>
      <c r="E30" s="28"/>
      <c r="F30" s="182">
        <v>45322</v>
      </c>
      <c r="G30" s="27">
        <f>TeamB!E18</f>
        <v>4</v>
      </c>
      <c r="H30" s="269">
        <f t="shared" si="1"/>
        <v>1</v>
      </c>
      <c r="I30" s="28" t="str">
        <f>TeamB!AN18</f>
        <v>○</v>
      </c>
      <c r="J30" s="271" t="str">
        <f>TeamB!AO18</f>
        <v>○</v>
      </c>
      <c r="K30" s="27"/>
      <c r="L30" s="182">
        <v>45316</v>
      </c>
      <c r="M30" s="182" t="s">
        <v>230</v>
      </c>
      <c r="N30" s="182">
        <v>45322</v>
      </c>
      <c r="O30" s="27"/>
      <c r="P30" s="28" t="s">
        <v>1387</v>
      </c>
      <c r="Q30" s="27">
        <v>0</v>
      </c>
      <c r="R30" s="27">
        <v>0</v>
      </c>
      <c r="S30" s="268">
        <f t="shared" ca="1" si="2"/>
        <v>0</v>
      </c>
    </row>
    <row r="31" spans="2:48" ht="33" hidden="1" customHeight="1">
      <c r="B31" s="27">
        <f t="shared" si="0"/>
        <v>28</v>
      </c>
      <c r="C31" s="28" t="s">
        <v>1386</v>
      </c>
      <c r="D31" s="27" t="s">
        <v>1484</v>
      </c>
      <c r="E31" s="28"/>
      <c r="F31" s="284">
        <v>45344</v>
      </c>
      <c r="G31" s="27">
        <f>TeamB!E19</f>
        <v>7</v>
      </c>
      <c r="H31" s="269">
        <f t="shared" si="1"/>
        <v>1</v>
      </c>
      <c r="I31" s="28" t="str">
        <f>TeamB!AN19</f>
        <v>◎</v>
      </c>
      <c r="J31" s="271" t="str">
        <f>TeamB!AO19</f>
        <v>○</v>
      </c>
      <c r="K31" s="182">
        <v>45322</v>
      </c>
      <c r="L31" s="182"/>
      <c r="M31" s="182" t="s">
        <v>230</v>
      </c>
      <c r="N31" s="182">
        <v>45335</v>
      </c>
      <c r="O31" s="29"/>
      <c r="P31" s="28" t="s">
        <v>1485</v>
      </c>
      <c r="Q31" s="27">
        <v>0</v>
      </c>
      <c r="R31" s="27">
        <v>0</v>
      </c>
      <c r="S31" s="268">
        <f t="shared" ca="1" si="2"/>
        <v>0</v>
      </c>
    </row>
    <row r="32" spans="2:48" ht="11.1" hidden="1" customHeight="1">
      <c r="B32" s="27">
        <f t="shared" si="0"/>
        <v>29</v>
      </c>
      <c r="C32" s="28" t="s">
        <v>1386</v>
      </c>
      <c r="D32" s="27" t="s">
        <v>1486</v>
      </c>
      <c r="E32" s="28"/>
      <c r="F32" s="182">
        <v>45314</v>
      </c>
      <c r="G32" s="27">
        <f>TeamB!E20</f>
        <v>4</v>
      </c>
      <c r="H32" s="269">
        <f t="shared" si="1"/>
        <v>1</v>
      </c>
      <c r="I32" s="28" t="str">
        <f>TeamB!AN20</f>
        <v>◎</v>
      </c>
      <c r="J32" s="271" t="str">
        <f>TeamB!AO20</f>
        <v>○</v>
      </c>
      <c r="K32" s="27"/>
      <c r="L32" s="182">
        <v>45313</v>
      </c>
      <c r="M32" s="182" t="s">
        <v>230</v>
      </c>
      <c r="N32" s="182"/>
      <c r="O32" s="270"/>
      <c r="P32" s="27"/>
      <c r="Q32" s="27">
        <v>0</v>
      </c>
      <c r="R32" s="27">
        <v>0</v>
      </c>
      <c r="S32" s="268">
        <f t="shared" ca="1" si="2"/>
        <v>0</v>
      </c>
    </row>
    <row r="33" spans="2:19" ht="11.1" hidden="1" customHeight="1">
      <c r="B33" s="27">
        <f t="shared" si="0"/>
        <v>30</v>
      </c>
      <c r="C33" s="28" t="s">
        <v>1386</v>
      </c>
      <c r="D33" s="27" t="s">
        <v>1487</v>
      </c>
      <c r="E33" s="28"/>
      <c r="F33" s="182">
        <v>45322</v>
      </c>
      <c r="G33" s="27">
        <f>TeamB!E21</f>
        <v>6</v>
      </c>
      <c r="H33" s="269">
        <f t="shared" si="1"/>
        <v>1</v>
      </c>
      <c r="I33" s="28" t="str">
        <f>TeamB!AN21</f>
        <v>◎</v>
      </c>
      <c r="J33" s="271" t="str">
        <f>TeamB!AO21</f>
        <v>○</v>
      </c>
      <c r="K33" s="27"/>
      <c r="L33" s="182">
        <v>45308</v>
      </c>
      <c r="M33" s="182" t="s">
        <v>230</v>
      </c>
      <c r="N33" s="182">
        <v>45322</v>
      </c>
      <c r="O33" s="27"/>
      <c r="P33" s="27"/>
      <c r="Q33" s="27">
        <v>0</v>
      </c>
      <c r="R33" s="27">
        <v>0</v>
      </c>
      <c r="S33" s="268">
        <f t="shared" ca="1" si="2"/>
        <v>0</v>
      </c>
    </row>
    <row r="34" spans="2:19" ht="11.1" hidden="1" customHeight="1">
      <c r="B34" s="27">
        <f t="shared" si="0"/>
        <v>31</v>
      </c>
      <c r="C34" s="28" t="s">
        <v>1386</v>
      </c>
      <c r="D34" s="27" t="s">
        <v>1488</v>
      </c>
      <c r="E34" s="28"/>
      <c r="F34" s="182">
        <v>45328</v>
      </c>
      <c r="G34" s="27">
        <f>TeamB!E22</f>
        <v>6</v>
      </c>
      <c r="H34" s="269">
        <f t="shared" si="1"/>
        <v>1</v>
      </c>
      <c r="I34" s="28" t="str">
        <f>TeamB!AN22</f>
        <v>○</v>
      </c>
      <c r="J34" s="271" t="str">
        <f>TeamB!AO22</f>
        <v>○</v>
      </c>
      <c r="K34" s="27"/>
      <c r="L34" s="182">
        <v>45328</v>
      </c>
      <c r="M34" s="182" t="s">
        <v>230</v>
      </c>
      <c r="N34" s="182">
        <v>45328</v>
      </c>
      <c r="O34" s="27"/>
      <c r="P34" s="27"/>
      <c r="Q34" s="27">
        <v>0</v>
      </c>
      <c r="R34" s="27">
        <v>0</v>
      </c>
      <c r="S34" s="268">
        <f t="shared" ca="1" si="2"/>
        <v>0</v>
      </c>
    </row>
    <row r="35" spans="2:19" ht="11.1" hidden="1" customHeight="1">
      <c r="B35" s="27">
        <f t="shared" si="0"/>
        <v>32</v>
      </c>
      <c r="C35" s="28" t="s">
        <v>1386</v>
      </c>
      <c r="D35" s="27" t="s">
        <v>1489</v>
      </c>
      <c r="E35" s="28"/>
      <c r="F35" s="182">
        <v>45322</v>
      </c>
      <c r="G35" s="27">
        <f>TeamB!E23</f>
        <v>4</v>
      </c>
      <c r="H35" s="269">
        <f t="shared" si="1"/>
        <v>1</v>
      </c>
      <c r="I35" s="28" t="str">
        <f>TeamB!AN23</f>
        <v>△</v>
      </c>
      <c r="J35" s="271" t="str">
        <f>TeamB!AO23</f>
        <v>○</v>
      </c>
      <c r="K35" s="182">
        <v>45321</v>
      </c>
      <c r="L35" s="182">
        <v>45316</v>
      </c>
      <c r="M35" s="182" t="s">
        <v>230</v>
      </c>
      <c r="N35" s="182">
        <v>45322</v>
      </c>
      <c r="O35" s="229"/>
      <c r="P35" s="27"/>
      <c r="Q35" s="27">
        <v>0</v>
      </c>
      <c r="R35" s="27">
        <v>0</v>
      </c>
      <c r="S35" s="268">
        <f t="shared" ca="1" si="2"/>
        <v>0</v>
      </c>
    </row>
    <row r="36" spans="2:19" ht="11.1" hidden="1">
      <c r="B36" s="27">
        <f t="shared" ref="B36:B67" si="11">ROW()-3</f>
        <v>33</v>
      </c>
      <c r="C36" s="28" t="s">
        <v>1386</v>
      </c>
      <c r="D36" s="27" t="s">
        <v>1490</v>
      </c>
      <c r="E36" s="28"/>
      <c r="F36" s="284">
        <v>45344</v>
      </c>
      <c r="G36" s="27">
        <f>TeamB!E24</f>
        <v>8</v>
      </c>
      <c r="H36" s="269">
        <f>(G36-Q36)/G36</f>
        <v>1</v>
      </c>
      <c r="I36" s="28" t="str">
        <f>TeamB!AN24</f>
        <v>△</v>
      </c>
      <c r="J36" s="271" t="str">
        <f>TeamB!AO24</f>
        <v>○</v>
      </c>
      <c r="K36" s="182">
        <v>45322</v>
      </c>
      <c r="L36" s="182"/>
      <c r="M36" s="182">
        <v>45329</v>
      </c>
      <c r="N36" s="182">
        <v>45330</v>
      </c>
      <c r="O36" s="29"/>
      <c r="P36" s="27"/>
      <c r="Q36" s="27">
        <v>0</v>
      </c>
      <c r="R36" s="27">
        <v>0</v>
      </c>
      <c r="S36" s="268">
        <f t="shared" ca="1" si="2"/>
        <v>0</v>
      </c>
    </row>
    <row r="37" spans="2:19" ht="11.1" hidden="1">
      <c r="B37" s="27">
        <f t="shared" si="11"/>
        <v>34</v>
      </c>
      <c r="C37" s="28" t="s">
        <v>1386</v>
      </c>
      <c r="D37" s="27" t="s">
        <v>1491</v>
      </c>
      <c r="E37" s="28"/>
      <c r="F37" s="182">
        <v>45322</v>
      </c>
      <c r="G37" s="27">
        <f>TeamB!E25</f>
        <v>5</v>
      </c>
      <c r="H37" s="269">
        <f t="shared" ref="H37:H67" si="12">(G37-Q37)/G37</f>
        <v>1</v>
      </c>
      <c r="I37" s="28" t="str">
        <f>TeamB!AN25</f>
        <v>◎</v>
      </c>
      <c r="J37" s="271" t="str">
        <f>TeamB!AO25</f>
        <v>○</v>
      </c>
      <c r="K37" s="27"/>
      <c r="L37" s="182">
        <v>45321</v>
      </c>
      <c r="M37" s="182" t="s">
        <v>230</v>
      </c>
      <c r="N37" s="182">
        <v>45322</v>
      </c>
      <c r="O37" s="27"/>
      <c r="P37" s="27"/>
      <c r="Q37" s="27">
        <v>0</v>
      </c>
      <c r="R37" s="27">
        <v>0</v>
      </c>
      <c r="S37" s="268">
        <f t="shared" ca="1" si="2"/>
        <v>0</v>
      </c>
    </row>
    <row r="38" spans="2:19" ht="11.1" hidden="1">
      <c r="B38" s="27">
        <f t="shared" si="11"/>
        <v>35</v>
      </c>
      <c r="C38" s="28" t="s">
        <v>1386</v>
      </c>
      <c r="D38" s="27" t="s">
        <v>639</v>
      </c>
      <c r="E38" s="28" t="s">
        <v>1402</v>
      </c>
      <c r="F38" s="284">
        <v>45344</v>
      </c>
      <c r="G38" s="27">
        <f>TeamB!E26</f>
        <v>4</v>
      </c>
      <c r="H38" s="269">
        <f t="shared" si="12"/>
        <v>1</v>
      </c>
      <c r="I38" s="28" t="str">
        <f>TeamB!AN26</f>
        <v>△</v>
      </c>
      <c r="J38" s="271" t="str">
        <f>TeamB!AO26</f>
        <v>○</v>
      </c>
      <c r="K38" s="182">
        <v>45324</v>
      </c>
      <c r="L38" s="182"/>
      <c r="M38" s="182" t="s">
        <v>230</v>
      </c>
      <c r="N38" s="182">
        <v>45335</v>
      </c>
      <c r="O38" s="277"/>
      <c r="P38" s="27"/>
      <c r="Q38" s="27">
        <v>0</v>
      </c>
      <c r="R38" s="27">
        <v>0</v>
      </c>
      <c r="S38" s="268">
        <f t="shared" ca="1" si="2"/>
        <v>0</v>
      </c>
    </row>
    <row r="39" spans="2:19" ht="11.1" hidden="1">
      <c r="B39" s="27">
        <f t="shared" si="11"/>
        <v>36</v>
      </c>
      <c r="C39" s="28" t="s">
        <v>1386</v>
      </c>
      <c r="D39" s="27" t="s">
        <v>651</v>
      </c>
      <c r="E39" s="28"/>
      <c r="F39" s="284">
        <v>45344</v>
      </c>
      <c r="G39" s="27">
        <f>TeamB!E27</f>
        <v>1</v>
      </c>
      <c r="H39" s="269">
        <f t="shared" si="12"/>
        <v>1</v>
      </c>
      <c r="I39" s="28" t="str">
        <f>TeamB!AN27</f>
        <v>○</v>
      </c>
      <c r="J39" s="271" t="str">
        <f>TeamB!AO27</f>
        <v>△</v>
      </c>
      <c r="K39" s="182">
        <v>45322</v>
      </c>
      <c r="L39" s="182"/>
      <c r="M39" s="182" t="s">
        <v>230</v>
      </c>
      <c r="N39" s="182">
        <v>45337</v>
      </c>
      <c r="O39" s="29"/>
      <c r="P39" s="182"/>
      <c r="Q39" s="27">
        <v>0</v>
      </c>
      <c r="R39" s="27">
        <v>0</v>
      </c>
      <c r="S39" s="268">
        <f t="shared" ca="1" si="2"/>
        <v>0</v>
      </c>
    </row>
    <row r="40" spans="2:19" ht="11.1" hidden="1">
      <c r="B40" s="27">
        <f t="shared" si="11"/>
        <v>37</v>
      </c>
      <c r="C40" s="28" t="s">
        <v>1386</v>
      </c>
      <c r="D40" s="27" t="s">
        <v>659</v>
      </c>
      <c r="E40" s="28"/>
      <c r="F40" s="182">
        <v>45328</v>
      </c>
      <c r="G40" s="27">
        <v>5</v>
      </c>
      <c r="H40" s="269">
        <f t="shared" si="12"/>
        <v>1</v>
      </c>
      <c r="I40" s="28" t="str">
        <f>TeamB!AN28</f>
        <v>◎</v>
      </c>
      <c r="J40" s="28" t="str">
        <f>TeamB!AO28</f>
        <v>○</v>
      </c>
      <c r="K40" s="182"/>
      <c r="L40" s="182">
        <v>45327</v>
      </c>
      <c r="M40" s="182" t="s">
        <v>230</v>
      </c>
      <c r="N40" s="182">
        <v>45328</v>
      </c>
      <c r="O40" s="27"/>
      <c r="P40" s="27"/>
      <c r="Q40" s="27">
        <v>0</v>
      </c>
      <c r="R40" s="27">
        <v>0</v>
      </c>
      <c r="S40" s="268">
        <f t="shared" ca="1" si="2"/>
        <v>0</v>
      </c>
    </row>
    <row r="41" spans="2:19" ht="33" hidden="1">
      <c r="B41" s="27">
        <f t="shared" si="11"/>
        <v>38</v>
      </c>
      <c r="C41" s="28" t="s">
        <v>1387</v>
      </c>
      <c r="D41" s="27" t="s">
        <v>1492</v>
      </c>
      <c r="E41" s="28" t="s">
        <v>1402</v>
      </c>
      <c r="F41" s="27"/>
      <c r="G41" s="27">
        <f>TeamC!E10</f>
        <v>6</v>
      </c>
      <c r="H41" s="269">
        <f t="shared" si="12"/>
        <v>0.33333333333333331</v>
      </c>
      <c r="I41" s="28" t="str">
        <f>TeamC!AN10</f>
        <v>×</v>
      </c>
      <c r="J41" s="28" t="str">
        <f>TeamC!AO10</f>
        <v>△</v>
      </c>
      <c r="K41" s="182">
        <v>45324</v>
      </c>
      <c r="L41" s="182"/>
      <c r="M41" s="182">
        <v>45341</v>
      </c>
      <c r="N41" s="182">
        <v>45344</v>
      </c>
      <c r="O41" s="29" t="s">
        <v>1493</v>
      </c>
      <c r="P41" s="27"/>
      <c r="Q41" s="27">
        <v>4</v>
      </c>
      <c r="R41" s="27">
        <v>0</v>
      </c>
      <c r="S41" s="268">
        <f t="shared" ca="1" si="2"/>
        <v>0</v>
      </c>
    </row>
    <row r="42" spans="2:19" ht="11.1" hidden="1">
      <c r="B42" s="27">
        <f t="shared" si="11"/>
        <v>39</v>
      </c>
      <c r="C42" s="28" t="s">
        <v>1494</v>
      </c>
      <c r="D42" s="27" t="s">
        <v>1495</v>
      </c>
      <c r="E42" s="28"/>
      <c r="F42" s="182">
        <v>45328</v>
      </c>
      <c r="G42" s="27">
        <f>TeamC!E11</f>
        <v>8</v>
      </c>
      <c r="H42" s="269">
        <f t="shared" si="12"/>
        <v>1</v>
      </c>
      <c r="I42" s="28" t="str">
        <f>TeamC!AN11</f>
        <v>○</v>
      </c>
      <c r="J42" s="28" t="str">
        <f>TeamC!AO11</f>
        <v>○</v>
      </c>
      <c r="K42" s="182">
        <v>45322</v>
      </c>
      <c r="L42" s="182">
        <v>45337</v>
      </c>
      <c r="M42" s="182"/>
      <c r="N42" s="182">
        <v>45328</v>
      </c>
      <c r="O42" s="277"/>
      <c r="P42" s="27"/>
      <c r="Q42" s="27">
        <v>0</v>
      </c>
      <c r="R42" s="27">
        <v>0</v>
      </c>
      <c r="S42" s="268">
        <f t="shared" ca="1" si="2"/>
        <v>0</v>
      </c>
    </row>
    <row r="43" spans="2:19" ht="11.1" hidden="1">
      <c r="B43" s="27">
        <f t="shared" si="11"/>
        <v>40</v>
      </c>
      <c r="C43" s="28" t="s">
        <v>1387</v>
      </c>
      <c r="D43" s="27" t="s">
        <v>1496</v>
      </c>
      <c r="E43" s="28"/>
      <c r="F43" s="27"/>
      <c r="G43" s="27">
        <f>TeamC!E12</f>
        <v>8</v>
      </c>
      <c r="H43" s="269">
        <f t="shared" si="12"/>
        <v>0.875</v>
      </c>
      <c r="I43" s="28" t="str">
        <f>TeamC!AN12</f>
        <v>△</v>
      </c>
      <c r="J43" s="28" t="str">
        <f>TeamC!AO12</f>
        <v>△</v>
      </c>
      <c r="K43" s="182">
        <v>45322</v>
      </c>
      <c r="L43" s="182"/>
      <c r="M43" s="182">
        <v>45335</v>
      </c>
      <c r="N43" s="182">
        <v>45338</v>
      </c>
      <c r="O43" s="29" t="s">
        <v>1497</v>
      </c>
      <c r="P43" s="27"/>
      <c r="Q43" s="27">
        <v>1</v>
      </c>
      <c r="R43" s="27">
        <v>0</v>
      </c>
      <c r="S43" s="268">
        <f t="shared" ca="1" si="2"/>
        <v>0</v>
      </c>
    </row>
    <row r="44" spans="2:19" ht="11.1" hidden="1">
      <c r="B44" s="27">
        <f t="shared" si="11"/>
        <v>41</v>
      </c>
      <c r="C44" s="28" t="s">
        <v>1387</v>
      </c>
      <c r="D44" s="27" t="s">
        <v>1498</v>
      </c>
      <c r="E44" s="28"/>
      <c r="F44" s="182">
        <v>45328</v>
      </c>
      <c r="G44" s="27">
        <f>TeamC!E13</f>
        <v>5</v>
      </c>
      <c r="H44" s="269">
        <f t="shared" si="12"/>
        <v>1</v>
      </c>
      <c r="I44" s="28" t="str">
        <f>TeamC!AN13</f>
        <v>○</v>
      </c>
      <c r="J44" s="28" t="str">
        <f>TeamC!AO13</f>
        <v>○</v>
      </c>
      <c r="K44" s="182">
        <v>45322</v>
      </c>
      <c r="L44" s="182"/>
      <c r="M44" s="182">
        <v>45329</v>
      </c>
      <c r="N44" s="182">
        <v>45334</v>
      </c>
      <c r="O44" s="277"/>
      <c r="P44" s="27"/>
      <c r="Q44" s="27">
        <v>0</v>
      </c>
      <c r="R44" s="27">
        <v>0</v>
      </c>
      <c r="S44" s="268">
        <f t="shared" ca="1" si="2"/>
        <v>0</v>
      </c>
    </row>
    <row r="45" spans="2:19" ht="11.1" hidden="1">
      <c r="B45" s="27">
        <f t="shared" si="11"/>
        <v>42</v>
      </c>
      <c r="C45" s="28" t="s">
        <v>1387</v>
      </c>
      <c r="D45" s="27" t="s">
        <v>1499</v>
      </c>
      <c r="E45" s="28"/>
      <c r="F45" s="182">
        <v>45328</v>
      </c>
      <c r="G45" s="27">
        <f>TeamC!E14</f>
        <v>7</v>
      </c>
      <c r="H45" s="269">
        <f t="shared" si="12"/>
        <v>1</v>
      </c>
      <c r="I45" s="28" t="str">
        <f>TeamC!AN14</f>
        <v>◎</v>
      </c>
      <c r="J45" s="28" t="str">
        <f>TeamC!AO14</f>
        <v>○</v>
      </c>
      <c r="K45" s="182"/>
      <c r="L45" s="182">
        <v>45327</v>
      </c>
      <c r="M45" s="182" t="s">
        <v>230</v>
      </c>
      <c r="N45" s="182">
        <v>45328</v>
      </c>
      <c r="O45" s="27"/>
      <c r="P45" s="27"/>
      <c r="Q45" s="27">
        <v>0</v>
      </c>
      <c r="R45" s="27">
        <v>0</v>
      </c>
      <c r="S45" s="268">
        <f t="shared" ca="1" si="2"/>
        <v>0</v>
      </c>
    </row>
    <row r="46" spans="2:19" ht="54.95" hidden="1">
      <c r="B46" s="27">
        <f t="shared" si="11"/>
        <v>43</v>
      </c>
      <c r="C46" s="28" t="s">
        <v>1387</v>
      </c>
      <c r="D46" s="27" t="s">
        <v>1500</v>
      </c>
      <c r="E46" s="28" t="s">
        <v>1402</v>
      </c>
      <c r="F46" s="27"/>
      <c r="G46" s="27">
        <f>TeamC!E15</f>
        <v>5</v>
      </c>
      <c r="H46" s="269">
        <f t="shared" si="12"/>
        <v>0.4</v>
      </c>
      <c r="I46" s="28" t="str">
        <f>TeamC!AN15</f>
        <v>△</v>
      </c>
      <c r="J46" s="28" t="str">
        <f>TeamC!AO15</f>
        <v>△</v>
      </c>
      <c r="K46" s="182">
        <v>45324</v>
      </c>
      <c r="L46" s="182"/>
      <c r="M46" s="182">
        <v>45341</v>
      </c>
      <c r="N46" s="182">
        <v>45344</v>
      </c>
      <c r="O46" s="29" t="s">
        <v>1501</v>
      </c>
      <c r="P46" s="27"/>
      <c r="Q46" s="27">
        <v>3</v>
      </c>
      <c r="R46" s="27">
        <v>1</v>
      </c>
      <c r="S46" s="268">
        <f t="shared" ca="1" si="2"/>
        <v>0</v>
      </c>
    </row>
    <row r="47" spans="2:19" ht="11.1" hidden="1">
      <c r="B47" s="27">
        <f t="shared" si="11"/>
        <v>44</v>
      </c>
      <c r="C47" s="28" t="s">
        <v>1387</v>
      </c>
      <c r="D47" s="27" t="s">
        <v>1502</v>
      </c>
      <c r="E47" s="28"/>
      <c r="F47" s="182">
        <v>45328</v>
      </c>
      <c r="G47" s="27">
        <f>TeamC!E16</f>
        <v>9</v>
      </c>
      <c r="H47" s="269">
        <f t="shared" si="12"/>
        <v>1</v>
      </c>
      <c r="I47" s="28" t="str">
        <f>TeamC!AN16</f>
        <v>◎</v>
      </c>
      <c r="J47" s="28" t="str">
        <f>TeamC!AO16</f>
        <v>○</v>
      </c>
      <c r="K47" s="182"/>
      <c r="L47" s="182">
        <v>45328</v>
      </c>
      <c r="M47" s="182" t="s">
        <v>230</v>
      </c>
      <c r="N47" s="182">
        <v>45328</v>
      </c>
      <c r="O47" s="27"/>
      <c r="P47" s="27"/>
      <c r="Q47" s="27">
        <v>0</v>
      </c>
      <c r="R47" s="27">
        <v>0</v>
      </c>
      <c r="S47" s="268">
        <f t="shared" ca="1" si="2"/>
        <v>0</v>
      </c>
    </row>
    <row r="48" spans="2:19" ht="11.1" hidden="1">
      <c r="B48" s="27">
        <f t="shared" si="11"/>
        <v>45</v>
      </c>
      <c r="C48" s="28" t="s">
        <v>1387</v>
      </c>
      <c r="D48" s="27" t="s">
        <v>1503</v>
      </c>
      <c r="E48" s="28"/>
      <c r="F48" s="182">
        <v>45322</v>
      </c>
      <c r="G48" s="27">
        <v>8</v>
      </c>
      <c r="H48" s="269">
        <f t="shared" si="12"/>
        <v>1</v>
      </c>
      <c r="I48" s="28" t="str">
        <f>TeamC!AN17</f>
        <v>◎</v>
      </c>
      <c r="J48" s="28" t="str">
        <f>TeamC!AO17</f>
        <v>○</v>
      </c>
      <c r="K48" s="182"/>
      <c r="L48" s="182"/>
      <c r="M48" s="182">
        <v>45328</v>
      </c>
      <c r="N48" s="182">
        <v>45331</v>
      </c>
      <c r="O48" s="277"/>
      <c r="P48" s="27"/>
      <c r="Q48" s="27">
        <v>0</v>
      </c>
      <c r="R48" s="27">
        <v>0</v>
      </c>
      <c r="S48" s="268">
        <f t="shared" ca="1" si="2"/>
        <v>0</v>
      </c>
    </row>
    <row r="49" spans="2:19" ht="11.1" hidden="1">
      <c r="B49" s="27">
        <f t="shared" si="11"/>
        <v>46</v>
      </c>
      <c r="C49" s="28" t="s">
        <v>1387</v>
      </c>
      <c r="D49" s="27" t="s">
        <v>1504</v>
      </c>
      <c r="E49" s="28" t="s">
        <v>1402</v>
      </c>
      <c r="F49" s="27"/>
      <c r="G49" s="27">
        <f>TeamC!E18</f>
        <v>6</v>
      </c>
      <c r="H49" s="269">
        <f t="shared" si="12"/>
        <v>0.66666666666666663</v>
      </c>
      <c r="I49" s="28" t="str">
        <f>TeamC!AN18</f>
        <v>△</v>
      </c>
      <c r="J49" s="28" t="str">
        <f>TeamC!AO18</f>
        <v>△</v>
      </c>
      <c r="K49" s="182">
        <v>45322</v>
      </c>
      <c r="L49" s="182"/>
      <c r="M49" s="182">
        <v>45337</v>
      </c>
      <c r="N49" s="182">
        <v>45342</v>
      </c>
      <c r="O49" s="29" t="s">
        <v>1505</v>
      </c>
      <c r="P49" s="27"/>
      <c r="Q49" s="27">
        <v>2</v>
      </c>
      <c r="R49" s="27">
        <v>0</v>
      </c>
      <c r="S49" s="268">
        <f t="shared" ca="1" si="2"/>
        <v>0</v>
      </c>
    </row>
    <row r="50" spans="2:19" ht="11.1" hidden="1">
      <c r="B50" s="27">
        <f t="shared" si="11"/>
        <v>47</v>
      </c>
      <c r="C50" s="28" t="s">
        <v>1387</v>
      </c>
      <c r="D50" s="27" t="s">
        <v>1506</v>
      </c>
      <c r="E50" s="28"/>
      <c r="F50" s="182">
        <v>45328</v>
      </c>
      <c r="G50" s="27">
        <f>TeamC!E19</f>
        <v>7</v>
      </c>
      <c r="H50" s="269">
        <f t="shared" si="12"/>
        <v>1</v>
      </c>
      <c r="I50" s="28" t="str">
        <f>TeamC!AN19</f>
        <v>◎</v>
      </c>
      <c r="J50" s="28" t="str">
        <f>TeamC!AO19</f>
        <v>○</v>
      </c>
      <c r="K50" s="182"/>
      <c r="L50" s="182">
        <v>45327</v>
      </c>
      <c r="M50" s="182" t="s">
        <v>230</v>
      </c>
      <c r="N50" s="182">
        <v>45328</v>
      </c>
      <c r="O50" s="27"/>
      <c r="P50" s="27"/>
      <c r="Q50" s="27">
        <v>0</v>
      </c>
      <c r="R50" s="27">
        <v>0</v>
      </c>
      <c r="S50" s="268">
        <f t="shared" ca="1" si="2"/>
        <v>0</v>
      </c>
    </row>
    <row r="51" spans="2:19" ht="11.1" hidden="1">
      <c r="B51" s="27">
        <f t="shared" si="11"/>
        <v>48</v>
      </c>
      <c r="C51" s="28" t="s">
        <v>1387</v>
      </c>
      <c r="D51" s="27" t="s">
        <v>1507</v>
      </c>
      <c r="E51" s="28"/>
      <c r="F51" s="182"/>
      <c r="G51" s="27">
        <v>8</v>
      </c>
      <c r="H51" s="269">
        <f t="shared" si="12"/>
        <v>1</v>
      </c>
      <c r="I51" s="28" t="str">
        <f>TeamC!AN20</f>
        <v>○</v>
      </c>
      <c r="J51" s="28" t="str">
        <f>TeamC!AO20</f>
        <v>○</v>
      </c>
      <c r="K51" s="182">
        <v>45322</v>
      </c>
      <c r="L51" s="182"/>
      <c r="M51" s="182" t="s">
        <v>230</v>
      </c>
      <c r="N51" s="182">
        <v>45331</v>
      </c>
      <c r="O51" s="277"/>
      <c r="P51" s="27"/>
      <c r="Q51" s="27">
        <v>0</v>
      </c>
      <c r="R51" s="27">
        <v>0</v>
      </c>
      <c r="S51" s="268">
        <f t="shared" ca="1" si="2"/>
        <v>0</v>
      </c>
    </row>
    <row r="52" spans="2:19" ht="11.1" hidden="1">
      <c r="B52" s="27">
        <f t="shared" si="11"/>
        <v>49</v>
      </c>
      <c r="C52" s="28" t="s">
        <v>1387</v>
      </c>
      <c r="D52" s="27" t="s">
        <v>1508</v>
      </c>
      <c r="E52" s="28"/>
      <c r="F52" s="27"/>
      <c r="G52" s="27">
        <f>TeamC!E21</f>
        <v>4</v>
      </c>
      <c r="H52" s="269">
        <f t="shared" si="12"/>
        <v>1</v>
      </c>
      <c r="I52" s="28" t="str">
        <f>TeamC!AN21</f>
        <v>○</v>
      </c>
      <c r="J52" s="28" t="str">
        <f>TeamC!AO21</f>
        <v>○</v>
      </c>
      <c r="K52" s="182">
        <v>45322</v>
      </c>
      <c r="L52" s="182"/>
      <c r="M52" s="182">
        <v>45336</v>
      </c>
      <c r="N52" s="182">
        <v>45341</v>
      </c>
      <c r="O52" s="277"/>
      <c r="P52" s="27"/>
      <c r="Q52" s="27">
        <v>0</v>
      </c>
      <c r="R52" s="27">
        <v>0</v>
      </c>
      <c r="S52" s="268">
        <f t="shared" ca="1" si="2"/>
        <v>0</v>
      </c>
    </row>
    <row r="53" spans="2:19" ht="11.1" hidden="1">
      <c r="B53" s="27">
        <f t="shared" si="11"/>
        <v>50</v>
      </c>
      <c r="C53" s="28" t="s">
        <v>1387</v>
      </c>
      <c r="D53" s="27" t="s">
        <v>1509</v>
      </c>
      <c r="E53" s="28"/>
      <c r="F53" s="182">
        <v>45322</v>
      </c>
      <c r="G53" s="27">
        <f>TeamC!E22</f>
        <v>8</v>
      </c>
      <c r="H53" s="269">
        <f t="shared" si="12"/>
        <v>1</v>
      </c>
      <c r="I53" s="28" t="str">
        <f>TeamC!AN22</f>
        <v>△</v>
      </c>
      <c r="J53" s="28" t="str">
        <f>TeamC!AO22</f>
        <v>○</v>
      </c>
      <c r="K53" s="182">
        <v>45322</v>
      </c>
      <c r="L53" s="182">
        <v>45327</v>
      </c>
      <c r="M53" s="182" t="s">
        <v>230</v>
      </c>
      <c r="N53" s="182">
        <v>45322</v>
      </c>
      <c r="O53" s="27"/>
      <c r="P53" s="27"/>
      <c r="Q53" s="27">
        <v>0</v>
      </c>
      <c r="R53" s="27">
        <v>0</v>
      </c>
      <c r="S53" s="268">
        <f t="shared" ca="1" si="2"/>
        <v>0</v>
      </c>
    </row>
    <row r="54" spans="2:19" ht="11.1" hidden="1">
      <c r="B54" s="27">
        <f t="shared" si="11"/>
        <v>51</v>
      </c>
      <c r="C54" s="28" t="s">
        <v>1387</v>
      </c>
      <c r="D54" s="27" t="s">
        <v>1510</v>
      </c>
      <c r="E54" s="28"/>
      <c r="F54" s="27"/>
      <c r="G54" s="27">
        <f>TeamC!E23</f>
        <v>7</v>
      </c>
      <c r="H54" s="269">
        <f t="shared" si="12"/>
        <v>0.8571428571428571</v>
      </c>
      <c r="I54" s="28" t="str">
        <f>TeamC!AN23</f>
        <v>◎</v>
      </c>
      <c r="J54" s="28" t="str">
        <f>TeamC!AO23</f>
        <v>◎</v>
      </c>
      <c r="K54" s="182">
        <v>45322</v>
      </c>
      <c r="L54" s="182"/>
      <c r="M54" s="182">
        <v>45330</v>
      </c>
      <c r="N54" s="182">
        <v>45335</v>
      </c>
      <c r="O54" s="29" t="s">
        <v>1511</v>
      </c>
      <c r="P54" s="27"/>
      <c r="Q54" s="27">
        <v>1</v>
      </c>
      <c r="R54" s="27">
        <v>1</v>
      </c>
      <c r="S54" s="268">
        <f t="shared" ca="1" si="2"/>
        <v>0</v>
      </c>
    </row>
    <row r="55" spans="2:19" ht="21.95">
      <c r="B55" s="27">
        <f t="shared" si="11"/>
        <v>52</v>
      </c>
      <c r="C55" s="28" t="s">
        <v>1387</v>
      </c>
      <c r="D55" s="29" t="s">
        <v>1512</v>
      </c>
      <c r="E55" s="28" t="s">
        <v>1402</v>
      </c>
      <c r="F55" s="182">
        <v>45314</v>
      </c>
      <c r="G55" s="27">
        <f>TeamC!E24</f>
        <v>6</v>
      </c>
      <c r="H55" s="269">
        <f t="shared" si="12"/>
        <v>0.66666666666666663</v>
      </c>
      <c r="I55" s="28" t="str">
        <f>TeamC!AN24</f>
        <v>×</v>
      </c>
      <c r="J55" s="28" t="str">
        <f>TeamC!AO24</f>
        <v>×</v>
      </c>
      <c r="K55" s="182">
        <v>45324</v>
      </c>
      <c r="L55" s="28"/>
      <c r="M55" s="182">
        <v>45342</v>
      </c>
      <c r="N55" s="182">
        <v>45345</v>
      </c>
      <c r="O55" s="277" t="s">
        <v>1513</v>
      </c>
      <c r="P55" s="27"/>
      <c r="Q55" s="27">
        <v>2</v>
      </c>
      <c r="R55" s="27">
        <v>0</v>
      </c>
      <c r="S55" s="268">
        <f t="shared" ca="1" si="2"/>
        <v>0</v>
      </c>
    </row>
    <row r="56" spans="2:19" ht="21.95" hidden="1">
      <c r="B56" s="27">
        <f t="shared" si="11"/>
        <v>53</v>
      </c>
      <c r="C56" s="28" t="s">
        <v>1387</v>
      </c>
      <c r="D56" s="27" t="s">
        <v>1514</v>
      </c>
      <c r="E56" s="28"/>
      <c r="F56" s="27"/>
      <c r="G56" s="27">
        <f>TeamC!E25</f>
        <v>5</v>
      </c>
      <c r="H56" s="269">
        <f t="shared" si="12"/>
        <v>0.4</v>
      </c>
      <c r="I56" s="28" t="str">
        <f>TeamC!AN25</f>
        <v>×</v>
      </c>
      <c r="J56" s="28" t="str">
        <f>TeamC!AO25</f>
        <v>△</v>
      </c>
      <c r="K56" s="182">
        <v>45322</v>
      </c>
      <c r="L56" s="182"/>
      <c r="M56" s="182">
        <v>45336</v>
      </c>
      <c r="N56" s="182">
        <v>45341</v>
      </c>
      <c r="O56" s="277" t="s">
        <v>1515</v>
      </c>
      <c r="P56" s="27"/>
      <c r="Q56" s="27">
        <v>3</v>
      </c>
      <c r="R56" s="27">
        <v>0</v>
      </c>
      <c r="S56" s="268">
        <f t="shared" ca="1" si="2"/>
        <v>0</v>
      </c>
    </row>
    <row r="57" spans="2:19" ht="21.95">
      <c r="B57" s="27">
        <f t="shared" si="11"/>
        <v>54</v>
      </c>
      <c r="C57" s="28" t="s">
        <v>1387</v>
      </c>
      <c r="D57" s="27" t="s">
        <v>1516</v>
      </c>
      <c r="E57" s="28" t="s">
        <v>1402</v>
      </c>
      <c r="F57" s="182">
        <v>45314</v>
      </c>
      <c r="G57" s="27">
        <f>TeamC!E26</f>
        <v>6</v>
      </c>
      <c r="H57" s="269">
        <f t="shared" si="12"/>
        <v>0.5</v>
      </c>
      <c r="I57" s="28" t="str">
        <f>TeamC!AN26</f>
        <v>×</v>
      </c>
      <c r="J57" s="28" t="str">
        <f>TeamC!AO26</f>
        <v>×</v>
      </c>
      <c r="K57" s="182">
        <v>45324</v>
      </c>
      <c r="L57" s="28"/>
      <c r="M57" s="182">
        <v>45338</v>
      </c>
      <c r="N57" s="182">
        <v>45343</v>
      </c>
      <c r="O57" s="272" t="s">
        <v>1517</v>
      </c>
      <c r="P57" s="27"/>
      <c r="Q57" s="27">
        <v>3</v>
      </c>
      <c r="R57" s="27">
        <v>0</v>
      </c>
      <c r="S57" s="268">
        <f t="shared" ca="1" si="2"/>
        <v>0</v>
      </c>
    </row>
    <row r="58" spans="2:19" ht="11.1" hidden="1">
      <c r="B58" s="27">
        <f t="shared" si="11"/>
        <v>55</v>
      </c>
      <c r="C58" s="28" t="s">
        <v>1387</v>
      </c>
      <c r="D58" s="27" t="s">
        <v>1518</v>
      </c>
      <c r="E58" s="28"/>
      <c r="F58" s="182">
        <v>45322</v>
      </c>
      <c r="G58" s="27">
        <f>TeamC!E27</f>
        <v>3</v>
      </c>
      <c r="H58" s="269">
        <f t="shared" si="12"/>
        <v>1</v>
      </c>
      <c r="I58" s="28" t="str">
        <f>TeamC!AN27</f>
        <v>○</v>
      </c>
      <c r="J58" s="28" t="str">
        <f>TeamC!AO27</f>
        <v>○</v>
      </c>
      <c r="K58" s="182">
        <v>45322</v>
      </c>
      <c r="L58" s="182">
        <v>45328</v>
      </c>
      <c r="M58" s="182" t="s">
        <v>230</v>
      </c>
      <c r="N58" s="182">
        <v>45322</v>
      </c>
      <c r="O58" s="27"/>
      <c r="P58" s="27"/>
      <c r="Q58" s="27">
        <v>0</v>
      </c>
      <c r="R58" s="27">
        <v>0</v>
      </c>
      <c r="S58" s="268">
        <f t="shared" ca="1" si="2"/>
        <v>0</v>
      </c>
    </row>
    <row r="59" spans="2:19" ht="11.1" hidden="1">
      <c r="B59" s="27">
        <f t="shared" si="11"/>
        <v>56</v>
      </c>
      <c r="C59" s="28" t="s">
        <v>1387</v>
      </c>
      <c r="D59" s="27" t="s">
        <v>1519</v>
      </c>
      <c r="E59" s="28"/>
      <c r="F59" s="284"/>
      <c r="G59" s="27">
        <f>TeamC!E28</f>
        <v>5</v>
      </c>
      <c r="H59" s="269">
        <f t="shared" si="12"/>
        <v>0.8</v>
      </c>
      <c r="I59" s="28" t="str">
        <f>TeamC!AN28</f>
        <v>○</v>
      </c>
      <c r="J59" s="28" t="str">
        <f>TeamC!AO28</f>
        <v>○</v>
      </c>
      <c r="K59" s="182">
        <v>45322</v>
      </c>
      <c r="L59" s="182"/>
      <c r="M59" s="182">
        <v>45328</v>
      </c>
      <c r="N59" s="182">
        <v>45331</v>
      </c>
      <c r="O59" s="277" t="s">
        <v>1520</v>
      </c>
      <c r="P59" s="27"/>
      <c r="Q59" s="27">
        <v>1</v>
      </c>
      <c r="R59" s="27">
        <v>0</v>
      </c>
      <c r="S59" s="268">
        <f t="shared" ca="1" si="2"/>
        <v>0</v>
      </c>
    </row>
    <row r="60" spans="2:19" ht="11.1" hidden="1">
      <c r="B60" s="27">
        <f t="shared" si="11"/>
        <v>57</v>
      </c>
      <c r="C60" s="28" t="s">
        <v>1388</v>
      </c>
      <c r="D60" s="27" t="s">
        <v>1521</v>
      </c>
      <c r="E60" s="28"/>
      <c r="F60" s="182"/>
      <c r="G60" s="27">
        <f>TeamD!E10</f>
        <v>7</v>
      </c>
      <c r="H60" s="269">
        <f t="shared" si="12"/>
        <v>1</v>
      </c>
      <c r="I60" s="28" t="str">
        <f>TeamD!AN10</f>
        <v>◎</v>
      </c>
      <c r="J60" s="28" t="str">
        <f>TeamD!AO10</f>
        <v>○</v>
      </c>
      <c r="K60" s="182">
        <v>45331</v>
      </c>
      <c r="L60" s="182"/>
      <c r="M60" s="182">
        <v>45331</v>
      </c>
      <c r="N60" s="182">
        <v>45335</v>
      </c>
      <c r="O60" s="29" t="s">
        <v>1522</v>
      </c>
      <c r="P60" s="27"/>
      <c r="Q60" s="27">
        <v>0</v>
      </c>
      <c r="R60" s="27">
        <v>1</v>
      </c>
      <c r="S60" s="268">
        <f t="shared" ca="1" si="2"/>
        <v>0</v>
      </c>
    </row>
    <row r="61" spans="2:19" ht="11.1" hidden="1">
      <c r="B61" s="27">
        <f t="shared" si="11"/>
        <v>58</v>
      </c>
      <c r="C61" s="28" t="s">
        <v>1388</v>
      </c>
      <c r="D61" s="27" t="s">
        <v>1523</v>
      </c>
      <c r="E61" s="28"/>
      <c r="F61" s="182"/>
      <c r="G61" s="27">
        <f>TeamD!E11</f>
        <v>10</v>
      </c>
      <c r="H61" s="269">
        <f t="shared" si="12"/>
        <v>1</v>
      </c>
      <c r="I61" s="28" t="str">
        <f>TeamD!AN11</f>
        <v>○</v>
      </c>
      <c r="J61" s="28" t="str">
        <f>TeamD!AO11</f>
        <v>○</v>
      </c>
      <c r="K61" s="182">
        <v>45331</v>
      </c>
      <c r="L61" s="182"/>
      <c r="M61" s="182">
        <v>45331</v>
      </c>
      <c r="N61" s="182">
        <v>45331</v>
      </c>
      <c r="O61" s="229"/>
      <c r="P61" s="27"/>
      <c r="Q61" s="27">
        <v>0</v>
      </c>
      <c r="R61" s="27">
        <v>0</v>
      </c>
      <c r="S61" s="268">
        <f t="shared" ca="1" si="2"/>
        <v>0</v>
      </c>
    </row>
    <row r="62" spans="2:19" ht="11.1" hidden="1">
      <c r="B62" s="27">
        <f t="shared" si="11"/>
        <v>59</v>
      </c>
      <c r="C62" s="28" t="s">
        <v>1388</v>
      </c>
      <c r="D62" s="27" t="s">
        <v>1524</v>
      </c>
      <c r="E62" s="28"/>
      <c r="F62" s="182">
        <v>45328</v>
      </c>
      <c r="G62" s="27">
        <f>TeamD!E12</f>
        <v>11</v>
      </c>
      <c r="H62" s="269">
        <f t="shared" si="12"/>
        <v>1</v>
      </c>
      <c r="I62" s="28" t="str">
        <f>TeamD!AN12</f>
        <v>◎</v>
      </c>
      <c r="J62" s="28" t="str">
        <f>TeamD!AO12</f>
        <v>○</v>
      </c>
      <c r="K62" s="182">
        <v>45322</v>
      </c>
      <c r="L62" s="182"/>
      <c r="M62" s="182" t="s">
        <v>230</v>
      </c>
      <c r="N62" s="182">
        <v>45328</v>
      </c>
      <c r="O62" s="277"/>
      <c r="P62" s="27"/>
      <c r="Q62" s="27">
        <v>0</v>
      </c>
      <c r="R62" s="27">
        <v>0</v>
      </c>
      <c r="S62" s="268">
        <f t="shared" ca="1" si="2"/>
        <v>0</v>
      </c>
    </row>
    <row r="63" spans="2:19" ht="21.95" hidden="1">
      <c r="B63" s="27">
        <f t="shared" si="11"/>
        <v>60</v>
      </c>
      <c r="C63" s="28" t="s">
        <v>1388</v>
      </c>
      <c r="D63" s="27" t="s">
        <v>1525</v>
      </c>
      <c r="E63" s="28"/>
      <c r="F63" s="27"/>
      <c r="G63" s="27">
        <f>TeamD!E13</f>
        <v>10</v>
      </c>
      <c r="H63" s="269">
        <f t="shared" si="12"/>
        <v>0.9</v>
      </c>
      <c r="I63" s="28" t="str">
        <f>TeamD!AN13</f>
        <v>△</v>
      </c>
      <c r="J63" s="28" t="str">
        <f>TeamD!AO13</f>
        <v>△</v>
      </c>
      <c r="K63" s="182">
        <v>45338</v>
      </c>
      <c r="L63" s="182"/>
      <c r="M63" s="182">
        <v>45330</v>
      </c>
      <c r="N63" s="182">
        <v>45335</v>
      </c>
      <c r="O63" s="277" t="s">
        <v>1526</v>
      </c>
      <c r="P63" s="27"/>
      <c r="Q63" s="27">
        <v>1</v>
      </c>
      <c r="R63" s="27">
        <v>0</v>
      </c>
      <c r="S63" s="268">
        <f t="shared" ca="1" si="2"/>
        <v>0</v>
      </c>
    </row>
    <row r="64" spans="2:19" ht="11.1" hidden="1">
      <c r="B64" s="27">
        <f t="shared" si="11"/>
        <v>61</v>
      </c>
      <c r="C64" s="28" t="s">
        <v>1388</v>
      </c>
      <c r="D64" s="27" t="s">
        <v>1527</v>
      </c>
      <c r="E64" s="28"/>
      <c r="F64" s="182">
        <v>45322</v>
      </c>
      <c r="G64" s="27">
        <f>TeamD!E14</f>
        <v>9</v>
      </c>
      <c r="H64" s="269">
        <f t="shared" si="12"/>
        <v>1</v>
      </c>
      <c r="I64" s="28" t="str">
        <f>TeamD!AN14</f>
        <v>○</v>
      </c>
      <c r="J64" s="28" t="str">
        <f>TeamD!AO14</f>
        <v>○</v>
      </c>
      <c r="K64" s="182">
        <v>45322</v>
      </c>
      <c r="L64" s="182">
        <v>45336</v>
      </c>
      <c r="M64" s="182" t="s">
        <v>230</v>
      </c>
      <c r="N64" s="182">
        <v>45322</v>
      </c>
      <c r="O64" s="27"/>
      <c r="P64" s="27"/>
      <c r="Q64" s="27">
        <v>0</v>
      </c>
      <c r="R64" s="27">
        <v>0</v>
      </c>
      <c r="S64" s="268">
        <f t="shared" ca="1" si="2"/>
        <v>0</v>
      </c>
    </row>
    <row r="65" spans="2:20" ht="21.95" hidden="1">
      <c r="B65" s="27">
        <f t="shared" si="11"/>
        <v>62</v>
      </c>
      <c r="C65" s="28" t="s">
        <v>1388</v>
      </c>
      <c r="D65" s="27" t="s">
        <v>1528</v>
      </c>
      <c r="E65" s="28" t="s">
        <v>1402</v>
      </c>
      <c r="F65" s="182"/>
      <c r="G65" s="27">
        <f>TeamD!E15</f>
        <v>10</v>
      </c>
      <c r="H65" s="269">
        <f t="shared" si="12"/>
        <v>0.8</v>
      </c>
      <c r="I65" s="28" t="str">
        <f>TeamD!AN15</f>
        <v>△</v>
      </c>
      <c r="J65" s="28" t="str">
        <f>TeamD!AO15</f>
        <v>△</v>
      </c>
      <c r="K65" s="182">
        <v>45328</v>
      </c>
      <c r="L65" s="182"/>
      <c r="M65" s="182">
        <v>45336</v>
      </c>
      <c r="N65" s="182">
        <v>45341</v>
      </c>
      <c r="O65" s="29" t="s">
        <v>1529</v>
      </c>
      <c r="P65" s="27"/>
      <c r="Q65" s="27">
        <v>2</v>
      </c>
      <c r="R65" s="27">
        <v>1</v>
      </c>
      <c r="S65" s="268">
        <f t="shared" ca="1" si="2"/>
        <v>0</v>
      </c>
    </row>
    <row r="66" spans="2:20" ht="54.95" hidden="1">
      <c r="B66" s="27">
        <f t="shared" si="11"/>
        <v>63</v>
      </c>
      <c r="C66" s="28" t="s">
        <v>1388</v>
      </c>
      <c r="D66" s="27" t="s">
        <v>1530</v>
      </c>
      <c r="E66" s="28"/>
      <c r="F66" s="27"/>
      <c r="G66" s="27">
        <f>TeamD!E16</f>
        <v>10</v>
      </c>
      <c r="H66" s="269">
        <f t="shared" si="12"/>
        <v>0.9</v>
      </c>
      <c r="I66" s="28" t="str">
        <f>TeamD!AN16</f>
        <v>△</v>
      </c>
      <c r="J66" s="28" t="str">
        <f>TeamD!AO16</f>
        <v>○</v>
      </c>
      <c r="K66" s="182">
        <v>45331</v>
      </c>
      <c r="L66" s="182"/>
      <c r="M66" s="182">
        <v>45336</v>
      </c>
      <c r="N66" s="182">
        <v>45341</v>
      </c>
      <c r="O66" s="29" t="s">
        <v>1531</v>
      </c>
      <c r="P66" s="27"/>
      <c r="Q66" s="27">
        <v>1</v>
      </c>
      <c r="R66" s="27">
        <v>0</v>
      </c>
      <c r="S66" s="268">
        <f t="shared" ca="1" si="2"/>
        <v>0</v>
      </c>
    </row>
    <row r="67" spans="2:20" ht="21.95" hidden="1">
      <c r="B67" s="27">
        <f t="shared" si="11"/>
        <v>64</v>
      </c>
      <c r="C67" s="28" t="s">
        <v>1388</v>
      </c>
      <c r="D67" s="27" t="s">
        <v>1532</v>
      </c>
      <c r="E67" s="28"/>
      <c r="F67" s="284"/>
      <c r="G67" s="27">
        <f>TeamD!E17</f>
        <v>8</v>
      </c>
      <c r="H67" s="269">
        <f t="shared" si="12"/>
        <v>0.75</v>
      </c>
      <c r="I67" s="28" t="str">
        <f>TeamD!AN17</f>
        <v>△</v>
      </c>
      <c r="J67" s="28" t="str">
        <f>TeamD!AO17</f>
        <v>○</v>
      </c>
      <c r="K67" s="182">
        <v>45323</v>
      </c>
      <c r="L67" s="182"/>
      <c r="M67" s="182">
        <v>45330</v>
      </c>
      <c r="N67" s="182">
        <v>45335</v>
      </c>
      <c r="O67" s="277" t="s">
        <v>1533</v>
      </c>
      <c r="P67" s="27"/>
      <c r="Q67" s="27">
        <v>2</v>
      </c>
      <c r="R67" s="27">
        <v>0</v>
      </c>
      <c r="S67" s="268">
        <f t="shared" ca="1" si="2"/>
        <v>0</v>
      </c>
    </row>
    <row r="68" spans="2:20" ht="11.1" hidden="1">
      <c r="B68" s="27">
        <f t="shared" ref="B68:B100" si="13">ROW()-3</f>
        <v>65</v>
      </c>
      <c r="C68" s="28" t="s">
        <v>1388</v>
      </c>
      <c r="D68" s="27" t="s">
        <v>1534</v>
      </c>
      <c r="E68" s="28"/>
      <c r="F68" s="27"/>
      <c r="G68" s="27">
        <f>TeamD!E18</f>
        <v>8</v>
      </c>
      <c r="H68" s="269">
        <f t="shared" ref="H68:H99" si="14">(G68-Q68)/G68</f>
        <v>1</v>
      </c>
      <c r="I68" s="28" t="str">
        <f>TeamD!AN18</f>
        <v>△</v>
      </c>
      <c r="J68" s="28" t="str">
        <f>TeamD!AO18</f>
        <v>○</v>
      </c>
      <c r="K68" s="182">
        <v>45324</v>
      </c>
      <c r="L68" s="182"/>
      <c r="M68" s="182">
        <v>45336</v>
      </c>
      <c r="N68" s="182">
        <v>45338</v>
      </c>
      <c r="O68" s="29"/>
      <c r="P68" s="27"/>
      <c r="Q68" s="27">
        <v>0</v>
      </c>
      <c r="R68" s="27">
        <v>0</v>
      </c>
      <c r="S68" s="268">
        <f ca="1">IF(N68&lt;TODAY(),0,NETWORKDAYS(TODAY(),N68,$S$2))</f>
        <v>0</v>
      </c>
    </row>
    <row r="69" spans="2:20" ht="11.1" hidden="1">
      <c r="B69" s="27">
        <f t="shared" si="13"/>
        <v>66</v>
      </c>
      <c r="C69" s="28" t="s">
        <v>1388</v>
      </c>
      <c r="D69" s="27" t="s">
        <v>1535</v>
      </c>
      <c r="E69" s="28"/>
      <c r="F69" s="27"/>
      <c r="G69" s="27">
        <f>TeamD!E19</f>
        <v>7</v>
      </c>
      <c r="H69" s="269">
        <f t="shared" si="14"/>
        <v>1</v>
      </c>
      <c r="I69" s="28" t="str">
        <f>TeamD!AN19</f>
        <v>○</v>
      </c>
      <c r="J69" s="28" t="str">
        <f>TeamD!AO19</f>
        <v>○</v>
      </c>
      <c r="K69" s="182">
        <v>45322</v>
      </c>
      <c r="L69" s="182"/>
      <c r="M69" s="182">
        <v>45329</v>
      </c>
      <c r="N69" s="182">
        <v>45334</v>
      </c>
      <c r="O69" s="277"/>
      <c r="P69" s="27"/>
      <c r="Q69" s="27">
        <v>0</v>
      </c>
      <c r="R69" s="27">
        <v>0</v>
      </c>
      <c r="S69" s="268">
        <f t="shared" ref="S69:S100" ca="1" si="15">IF(N69&lt;TODAY(),0,NETWORKDAYS(TODAY(),N69,$S$2))</f>
        <v>0</v>
      </c>
    </row>
    <row r="70" spans="2:20" ht="11.1" hidden="1">
      <c r="B70" s="27">
        <f t="shared" si="13"/>
        <v>67</v>
      </c>
      <c r="C70" s="28" t="s">
        <v>1388</v>
      </c>
      <c r="D70" s="27" t="s">
        <v>1536</v>
      </c>
      <c r="E70" s="28"/>
      <c r="F70" s="182">
        <v>45322</v>
      </c>
      <c r="G70" s="27">
        <f>TeamD!E20</f>
        <v>7</v>
      </c>
      <c r="H70" s="269">
        <f t="shared" si="14"/>
        <v>1</v>
      </c>
      <c r="I70" s="28" t="str">
        <f>TeamD!AN20</f>
        <v>○</v>
      </c>
      <c r="J70" s="28" t="str">
        <f>TeamD!AO20</f>
        <v>○</v>
      </c>
      <c r="K70" s="182">
        <v>45322</v>
      </c>
      <c r="L70" s="182">
        <v>45324</v>
      </c>
      <c r="M70" s="182" t="s">
        <v>230</v>
      </c>
      <c r="N70" s="182">
        <v>45322</v>
      </c>
      <c r="O70" s="27"/>
      <c r="P70" s="27"/>
      <c r="Q70" s="27">
        <v>0</v>
      </c>
      <c r="R70" s="27">
        <v>0</v>
      </c>
      <c r="S70" s="268">
        <f t="shared" ca="1" si="15"/>
        <v>0</v>
      </c>
    </row>
    <row r="71" spans="2:20" ht="11.1" hidden="1">
      <c r="B71" s="27">
        <f t="shared" si="13"/>
        <v>68</v>
      </c>
      <c r="C71" s="28" t="s">
        <v>1388</v>
      </c>
      <c r="D71" s="27" t="s">
        <v>1537</v>
      </c>
      <c r="E71" s="28"/>
      <c r="F71" s="27"/>
      <c r="G71" s="27">
        <f>TeamD!E21</f>
        <v>6</v>
      </c>
      <c r="H71" s="269">
        <f t="shared" si="14"/>
        <v>0.83333333333333337</v>
      </c>
      <c r="I71" s="28" t="str">
        <f>TeamD!AN21</f>
        <v>○</v>
      </c>
      <c r="J71" s="28" t="str">
        <f>TeamD!AO21</f>
        <v>△</v>
      </c>
      <c r="K71" s="182">
        <v>45323</v>
      </c>
      <c r="L71" s="182"/>
      <c r="M71" s="182">
        <v>45334</v>
      </c>
      <c r="N71" s="182">
        <v>45337</v>
      </c>
      <c r="O71" s="277" t="s">
        <v>1538</v>
      </c>
      <c r="P71" s="27"/>
      <c r="Q71" s="27">
        <v>1</v>
      </c>
      <c r="R71" s="27">
        <v>0</v>
      </c>
      <c r="S71" s="268">
        <f t="shared" ca="1" si="15"/>
        <v>0</v>
      </c>
    </row>
    <row r="72" spans="2:20" ht="11.1" hidden="1">
      <c r="B72" s="27">
        <f t="shared" si="13"/>
        <v>69</v>
      </c>
      <c r="C72" s="28" t="s">
        <v>1388</v>
      </c>
      <c r="D72" s="27" t="s">
        <v>1539</v>
      </c>
      <c r="E72" s="28"/>
      <c r="F72" s="27"/>
      <c r="G72" s="27">
        <f>TeamD!E22</f>
        <v>8</v>
      </c>
      <c r="H72" s="269">
        <f t="shared" si="14"/>
        <v>1</v>
      </c>
      <c r="I72" s="28" t="str">
        <f>TeamD!AN22</f>
        <v>○</v>
      </c>
      <c r="J72" s="28" t="str">
        <f>TeamD!AO22</f>
        <v>○</v>
      </c>
      <c r="K72" s="182">
        <v>45327</v>
      </c>
      <c r="L72" s="182"/>
      <c r="M72" s="182">
        <v>45336</v>
      </c>
      <c r="N72" s="182">
        <v>45338</v>
      </c>
      <c r="O72" s="277"/>
      <c r="P72" s="27"/>
      <c r="Q72" s="27">
        <v>0</v>
      </c>
      <c r="R72" s="27">
        <v>0</v>
      </c>
      <c r="S72" s="268">
        <f t="shared" ca="1" si="15"/>
        <v>0</v>
      </c>
    </row>
    <row r="73" spans="2:20" ht="11.1" hidden="1">
      <c r="B73" s="27">
        <f t="shared" si="13"/>
        <v>70</v>
      </c>
      <c r="C73" s="28" t="s">
        <v>1388</v>
      </c>
      <c r="D73" s="27" t="s">
        <v>1540</v>
      </c>
      <c r="E73" s="28"/>
      <c r="F73" s="182">
        <v>45322</v>
      </c>
      <c r="G73" s="27">
        <f>TeamD!E23</f>
        <v>10</v>
      </c>
      <c r="H73" s="269">
        <f t="shared" si="14"/>
        <v>1</v>
      </c>
      <c r="I73" s="28" t="str">
        <f>TeamD!AN23</f>
        <v>○</v>
      </c>
      <c r="J73" s="28" t="str">
        <f>TeamD!AO23</f>
        <v>○</v>
      </c>
      <c r="K73" s="182">
        <v>45331</v>
      </c>
      <c r="L73" s="182"/>
      <c r="M73" s="182" t="s">
        <v>230</v>
      </c>
      <c r="N73" s="182">
        <v>45322</v>
      </c>
      <c r="O73" s="27" t="s">
        <v>1541</v>
      </c>
      <c r="P73" s="27"/>
      <c r="Q73" s="27">
        <v>0</v>
      </c>
      <c r="R73" s="27">
        <v>1</v>
      </c>
      <c r="S73" s="268">
        <f t="shared" ca="1" si="15"/>
        <v>0</v>
      </c>
    </row>
    <row r="74" spans="2:20" ht="11.1" hidden="1">
      <c r="B74" s="27">
        <f t="shared" si="13"/>
        <v>71</v>
      </c>
      <c r="C74" s="28" t="s">
        <v>1388</v>
      </c>
      <c r="D74" s="27" t="s">
        <v>1542</v>
      </c>
      <c r="E74" s="28"/>
      <c r="F74" s="27"/>
      <c r="G74" s="27">
        <f>TeamD!E24</f>
        <v>9</v>
      </c>
      <c r="H74" s="269">
        <f t="shared" si="14"/>
        <v>0.88888888888888884</v>
      </c>
      <c r="I74" s="28" t="str">
        <f>TeamD!AN24</f>
        <v>○</v>
      </c>
      <c r="J74" s="28" t="str">
        <f>TeamD!AO24</f>
        <v>○</v>
      </c>
      <c r="K74" s="182">
        <v>45323</v>
      </c>
      <c r="L74" s="182"/>
      <c r="M74" s="284">
        <v>45336</v>
      </c>
      <c r="N74" s="182">
        <v>45341</v>
      </c>
      <c r="O74" s="29" t="s">
        <v>1543</v>
      </c>
      <c r="P74" s="27"/>
      <c r="Q74" s="27">
        <v>1</v>
      </c>
      <c r="R74" s="27">
        <v>0</v>
      </c>
      <c r="S74" s="268">
        <f t="shared" ca="1" si="15"/>
        <v>0</v>
      </c>
    </row>
    <row r="75" spans="2:20" ht="77.099999999999994">
      <c r="B75" s="27">
        <f t="shared" si="13"/>
        <v>72</v>
      </c>
      <c r="C75" s="28" t="s">
        <v>1388</v>
      </c>
      <c r="D75" s="29" t="s">
        <v>1544</v>
      </c>
      <c r="E75" s="28" t="s">
        <v>1402</v>
      </c>
      <c r="F75" s="182">
        <v>45314</v>
      </c>
      <c r="G75" s="27">
        <f>TeamD!E25</f>
        <v>9</v>
      </c>
      <c r="H75" s="269">
        <f t="shared" si="14"/>
        <v>0.55555555555555558</v>
      </c>
      <c r="I75" s="28" t="str">
        <f>TeamD!AN25</f>
        <v>×</v>
      </c>
      <c r="J75" s="28" t="str">
        <f>TeamD!AO25</f>
        <v>×</v>
      </c>
      <c r="K75" s="182">
        <v>45329</v>
      </c>
      <c r="L75" s="182"/>
      <c r="M75" s="182">
        <v>45344</v>
      </c>
      <c r="N75" s="182">
        <v>45342</v>
      </c>
      <c r="O75" s="272" t="s">
        <v>1545</v>
      </c>
      <c r="P75" s="27"/>
      <c r="Q75" s="27">
        <v>4</v>
      </c>
      <c r="R75" s="27">
        <v>0</v>
      </c>
      <c r="S75" s="268">
        <f t="shared" ca="1" si="15"/>
        <v>0</v>
      </c>
    </row>
    <row r="76" spans="2:20" ht="21.95" hidden="1">
      <c r="B76" s="27">
        <f t="shared" si="13"/>
        <v>73</v>
      </c>
      <c r="C76" s="28" t="s">
        <v>1388</v>
      </c>
      <c r="D76" s="27" t="s">
        <v>1546</v>
      </c>
      <c r="E76" s="28" t="s">
        <v>1402</v>
      </c>
      <c r="F76" s="284"/>
      <c r="G76" s="27">
        <f>TeamD!E26</f>
        <v>8</v>
      </c>
      <c r="H76" s="269">
        <f t="shared" si="14"/>
        <v>0.875</v>
      </c>
      <c r="I76" s="28" t="str">
        <f>TeamD!AN26</f>
        <v>×</v>
      </c>
      <c r="J76" s="28" t="str">
        <f>TeamD!AO26</f>
        <v>△</v>
      </c>
      <c r="K76" s="182">
        <v>45322</v>
      </c>
      <c r="L76" s="182"/>
      <c r="M76" s="182">
        <v>45337</v>
      </c>
      <c r="N76" s="182">
        <v>45341</v>
      </c>
      <c r="O76" s="29" t="s">
        <v>1547</v>
      </c>
      <c r="P76" s="27"/>
      <c r="Q76" s="27">
        <v>1</v>
      </c>
      <c r="R76" s="27">
        <v>0</v>
      </c>
      <c r="S76" s="268">
        <f t="shared" ca="1" si="15"/>
        <v>0</v>
      </c>
    </row>
    <row r="77" spans="2:20" ht="21.95" hidden="1">
      <c r="B77" s="27">
        <f t="shared" si="13"/>
        <v>74</v>
      </c>
      <c r="C77" s="28" t="s">
        <v>1388</v>
      </c>
      <c r="D77" s="27" t="s">
        <v>1548</v>
      </c>
      <c r="E77" s="28" t="s">
        <v>1402</v>
      </c>
      <c r="F77" s="27"/>
      <c r="G77" s="27">
        <f>TeamD!E27</f>
        <v>6</v>
      </c>
      <c r="H77" s="269">
        <f t="shared" si="14"/>
        <v>0.83333333333333337</v>
      </c>
      <c r="I77" s="28" t="str">
        <f>TeamD!AN27</f>
        <v>△</v>
      </c>
      <c r="J77" s="28" t="str">
        <f>TeamD!AO27</f>
        <v>○</v>
      </c>
      <c r="K77" s="182">
        <v>45322</v>
      </c>
      <c r="L77" s="182"/>
      <c r="M77" s="182">
        <v>45331</v>
      </c>
      <c r="N77" s="182">
        <v>45338</v>
      </c>
      <c r="O77" s="29" t="s">
        <v>1549</v>
      </c>
      <c r="P77" s="27"/>
      <c r="Q77" s="27">
        <v>1</v>
      </c>
      <c r="R77" s="27">
        <v>1</v>
      </c>
      <c r="S77" s="268">
        <f t="shared" ca="1" si="15"/>
        <v>0</v>
      </c>
    </row>
    <row r="78" spans="2:20" ht="11.1" hidden="1">
      <c r="B78" s="27">
        <f t="shared" si="13"/>
        <v>75</v>
      </c>
      <c r="C78" s="28" t="s">
        <v>1388</v>
      </c>
      <c r="D78" s="27" t="s">
        <v>1550</v>
      </c>
      <c r="E78" s="28"/>
      <c r="F78" s="27"/>
      <c r="G78" s="27">
        <f>TeamD!E28</f>
        <v>4</v>
      </c>
      <c r="H78" s="269">
        <f t="shared" si="14"/>
        <v>0.5</v>
      </c>
      <c r="I78" s="28" t="str">
        <f>TeamD!AN28</f>
        <v>○</v>
      </c>
      <c r="J78" s="28" t="str">
        <f>TeamD!AO28</f>
        <v>○</v>
      </c>
      <c r="K78" s="182">
        <v>45327</v>
      </c>
      <c r="L78" s="182"/>
      <c r="M78" s="182">
        <v>45334</v>
      </c>
      <c r="N78" s="182">
        <v>45337</v>
      </c>
      <c r="O78" s="29" t="s">
        <v>1551</v>
      </c>
      <c r="P78" s="27"/>
      <c r="Q78" s="27">
        <v>2</v>
      </c>
      <c r="R78" s="27">
        <v>0</v>
      </c>
      <c r="S78" s="268">
        <f t="shared" ca="1" si="15"/>
        <v>0</v>
      </c>
    </row>
    <row r="79" spans="2:20" ht="11.1" hidden="1">
      <c r="B79" s="27">
        <f t="shared" si="13"/>
        <v>76</v>
      </c>
      <c r="C79" s="28" t="s">
        <v>1389</v>
      </c>
      <c r="D79" s="27" t="s">
        <v>1552</v>
      </c>
      <c r="E79" s="28"/>
      <c r="F79" s="182">
        <v>45314</v>
      </c>
      <c r="G79" s="27">
        <f>TeamE!E10</f>
        <v>7</v>
      </c>
      <c r="H79" s="269">
        <f t="shared" si="14"/>
        <v>1</v>
      </c>
      <c r="I79" s="28" t="str">
        <f>TeamE!AN10</f>
        <v>◎</v>
      </c>
      <c r="J79" s="28" t="str">
        <f>TeamE!AO10</f>
        <v>◎</v>
      </c>
      <c r="K79" s="182">
        <v>45317</v>
      </c>
      <c r="L79" s="182">
        <v>45317</v>
      </c>
      <c r="M79" s="182" t="s">
        <v>230</v>
      </c>
      <c r="N79" s="182"/>
      <c r="O79" s="270"/>
      <c r="P79" s="27"/>
      <c r="Q79" s="27">
        <v>0</v>
      </c>
      <c r="R79" s="27">
        <v>0</v>
      </c>
      <c r="S79" s="268">
        <f t="shared" ca="1" si="15"/>
        <v>0</v>
      </c>
      <c r="T79" s="24"/>
    </row>
    <row r="80" spans="2:20" ht="11.1" hidden="1">
      <c r="B80" s="27">
        <f t="shared" si="13"/>
        <v>77</v>
      </c>
      <c r="C80" s="28" t="s">
        <v>1389</v>
      </c>
      <c r="D80" s="27" t="s">
        <v>1553</v>
      </c>
      <c r="E80" s="28"/>
      <c r="F80" s="182">
        <v>45314</v>
      </c>
      <c r="G80" s="27">
        <f>TeamE!E11</f>
        <v>6</v>
      </c>
      <c r="H80" s="269">
        <f t="shared" si="14"/>
        <v>1</v>
      </c>
      <c r="I80" s="28" t="str">
        <f>TeamE!AN11</f>
        <v>◎</v>
      </c>
      <c r="J80" s="28" t="str">
        <f>TeamE!AO11</f>
        <v>◎</v>
      </c>
      <c r="K80" s="182">
        <v>45315</v>
      </c>
      <c r="L80" s="182">
        <v>45315</v>
      </c>
      <c r="M80" s="182" t="s">
        <v>230</v>
      </c>
      <c r="N80" s="182"/>
      <c r="O80" s="270"/>
      <c r="P80" s="27"/>
      <c r="Q80" s="27">
        <v>0</v>
      </c>
      <c r="R80" s="27">
        <v>0</v>
      </c>
      <c r="S80" s="268">
        <f t="shared" ca="1" si="15"/>
        <v>0</v>
      </c>
    </row>
    <row r="81" spans="1:20" ht="11.1" hidden="1">
      <c r="B81" s="27">
        <f t="shared" si="13"/>
        <v>78</v>
      </c>
      <c r="C81" s="28" t="s">
        <v>1389</v>
      </c>
      <c r="D81" s="27" t="s">
        <v>1554</v>
      </c>
      <c r="E81" s="28"/>
      <c r="F81" s="182">
        <v>45322</v>
      </c>
      <c r="G81" s="27">
        <f>TeamE!E12</f>
        <v>5</v>
      </c>
      <c r="H81" s="269">
        <f t="shared" si="14"/>
        <v>1</v>
      </c>
      <c r="I81" s="28" t="str">
        <f>TeamE!AN12</f>
        <v>○</v>
      </c>
      <c r="J81" s="28" t="str">
        <f>TeamE!AO12</f>
        <v>◎</v>
      </c>
      <c r="K81" s="182">
        <v>45322</v>
      </c>
      <c r="L81" s="182">
        <v>45322</v>
      </c>
      <c r="M81" s="182" t="s">
        <v>230</v>
      </c>
      <c r="N81" s="182"/>
      <c r="O81" s="27"/>
      <c r="P81" s="27"/>
      <c r="Q81" s="27">
        <v>0</v>
      </c>
      <c r="R81" s="27">
        <v>0</v>
      </c>
      <c r="S81" s="268">
        <f t="shared" ca="1" si="15"/>
        <v>0</v>
      </c>
    </row>
    <row r="82" spans="1:20" ht="11.1" hidden="1">
      <c r="B82" s="27">
        <f t="shared" si="13"/>
        <v>79</v>
      </c>
      <c r="C82" s="28" t="s">
        <v>1389</v>
      </c>
      <c r="D82" s="27" t="s">
        <v>1555</v>
      </c>
      <c r="E82" s="28"/>
      <c r="F82" s="27"/>
      <c r="G82" s="27">
        <f>TeamE!E13</f>
        <v>4</v>
      </c>
      <c r="H82" s="269">
        <f t="shared" si="14"/>
        <v>0.5</v>
      </c>
      <c r="I82" s="28" t="str">
        <f>TeamE!AN13</f>
        <v>△</v>
      </c>
      <c r="J82" s="28" t="str">
        <f>TeamE!AO13</f>
        <v>○</v>
      </c>
      <c r="K82" s="182">
        <v>45320</v>
      </c>
      <c r="L82" s="182"/>
      <c r="M82" s="182">
        <v>45335</v>
      </c>
      <c r="N82" s="182">
        <v>45338</v>
      </c>
      <c r="O82" s="277" t="s">
        <v>1556</v>
      </c>
      <c r="P82" s="27"/>
      <c r="Q82" s="27">
        <v>2</v>
      </c>
      <c r="R82" s="27">
        <v>0</v>
      </c>
      <c r="S82" s="268">
        <f t="shared" ca="1" si="15"/>
        <v>0</v>
      </c>
      <c r="T82" t="s">
        <v>1557</v>
      </c>
    </row>
    <row r="83" spans="1:20" ht="11.1" hidden="1">
      <c r="B83" s="27">
        <f t="shared" si="13"/>
        <v>80</v>
      </c>
      <c r="C83" s="28" t="s">
        <v>1389</v>
      </c>
      <c r="D83" s="27" t="s">
        <v>1558</v>
      </c>
      <c r="E83" s="28"/>
      <c r="F83" s="182">
        <v>45322</v>
      </c>
      <c r="G83" s="27">
        <f>TeamE!E14</f>
        <v>5</v>
      </c>
      <c r="H83" s="269">
        <f t="shared" si="14"/>
        <v>1</v>
      </c>
      <c r="I83" s="28" t="str">
        <f>TeamE!AN14</f>
        <v>○</v>
      </c>
      <c r="J83" s="28" t="str">
        <f>TeamE!AO14</f>
        <v>○</v>
      </c>
      <c r="K83" s="182">
        <v>45322</v>
      </c>
      <c r="L83" s="182">
        <v>45329</v>
      </c>
      <c r="M83" s="182" t="s">
        <v>230</v>
      </c>
      <c r="N83" s="182">
        <v>45329</v>
      </c>
      <c r="O83" s="27"/>
      <c r="P83" s="27"/>
      <c r="Q83" s="27">
        <v>0</v>
      </c>
      <c r="R83" s="27">
        <v>0</v>
      </c>
      <c r="S83" s="268">
        <f t="shared" ca="1" si="15"/>
        <v>0</v>
      </c>
    </row>
    <row r="84" spans="1:20" ht="11.1" hidden="1">
      <c r="B84" s="27">
        <f t="shared" si="13"/>
        <v>81</v>
      </c>
      <c r="C84" s="28" t="s">
        <v>1389</v>
      </c>
      <c r="D84" s="27" t="s">
        <v>1559</v>
      </c>
      <c r="E84" s="28"/>
      <c r="F84" s="182"/>
      <c r="G84" s="27">
        <f>TeamE!E15</f>
        <v>8</v>
      </c>
      <c r="H84" s="269">
        <f t="shared" si="14"/>
        <v>1</v>
      </c>
      <c r="I84" s="28" t="str">
        <f>TeamE!AN15</f>
        <v>◎</v>
      </c>
      <c r="J84" s="28" t="str">
        <f>TeamE!AO15</f>
        <v>○</v>
      </c>
      <c r="K84" s="182">
        <v>45322</v>
      </c>
      <c r="L84" s="182">
        <v>45328</v>
      </c>
      <c r="M84" s="182" t="s">
        <v>230</v>
      </c>
      <c r="N84" s="182">
        <v>45328</v>
      </c>
      <c r="O84" s="285"/>
      <c r="P84" s="27"/>
      <c r="Q84" s="27">
        <v>0</v>
      </c>
      <c r="R84" s="27">
        <v>0</v>
      </c>
      <c r="S84" s="268">
        <f t="shared" ca="1" si="15"/>
        <v>0</v>
      </c>
    </row>
    <row r="85" spans="1:20" ht="11.1" hidden="1">
      <c r="B85" s="27">
        <f t="shared" si="13"/>
        <v>82</v>
      </c>
      <c r="C85" s="28" t="s">
        <v>1389</v>
      </c>
      <c r="D85" s="27" t="s">
        <v>1560</v>
      </c>
      <c r="E85" s="28"/>
      <c r="F85" s="284"/>
      <c r="G85" s="27">
        <f>TeamE!E16</f>
        <v>5</v>
      </c>
      <c r="H85" s="269">
        <f t="shared" si="14"/>
        <v>1</v>
      </c>
      <c r="I85" s="28" t="str">
        <f>TeamE!AN16</f>
        <v>△</v>
      </c>
      <c r="J85" s="28" t="str">
        <f>TeamE!AO16</f>
        <v>△</v>
      </c>
      <c r="K85" s="182">
        <v>45320</v>
      </c>
      <c r="L85" s="182"/>
      <c r="M85" s="182">
        <v>45331</v>
      </c>
      <c r="N85" s="182">
        <v>45336</v>
      </c>
      <c r="O85" s="277"/>
      <c r="P85" s="27"/>
      <c r="Q85" s="27">
        <v>0</v>
      </c>
      <c r="R85" s="27">
        <v>0</v>
      </c>
      <c r="S85" s="268">
        <f t="shared" ca="1" si="15"/>
        <v>0</v>
      </c>
      <c r="T85" t="s">
        <v>1557</v>
      </c>
    </row>
    <row r="86" spans="1:20" ht="11.1" hidden="1">
      <c r="B86" s="27">
        <f t="shared" si="13"/>
        <v>83</v>
      </c>
      <c r="C86" s="28" t="s">
        <v>1389</v>
      </c>
      <c r="D86" s="27" t="s">
        <v>1561</v>
      </c>
      <c r="E86" s="28"/>
      <c r="F86" s="27"/>
      <c r="G86" s="27">
        <f>TeamE!E17</f>
        <v>3</v>
      </c>
      <c r="H86" s="269">
        <f t="shared" si="14"/>
        <v>0.33333333333333331</v>
      </c>
      <c r="I86" s="28" t="str">
        <f>TeamE!AN17</f>
        <v>△</v>
      </c>
      <c r="J86" s="28" t="str">
        <f>TeamE!AO17</f>
        <v>○</v>
      </c>
      <c r="K86" s="182">
        <v>45324</v>
      </c>
      <c r="L86" s="182"/>
      <c r="M86" s="182">
        <v>45335</v>
      </c>
      <c r="N86" s="182">
        <v>45338</v>
      </c>
      <c r="O86" s="29" t="s">
        <v>1562</v>
      </c>
      <c r="P86" s="27"/>
      <c r="Q86" s="27">
        <v>2</v>
      </c>
      <c r="R86" s="27">
        <v>0</v>
      </c>
      <c r="S86" s="268">
        <f t="shared" ca="1" si="15"/>
        <v>0</v>
      </c>
      <c r="T86" t="s">
        <v>1557</v>
      </c>
    </row>
    <row r="87" spans="1:20" ht="11.1" hidden="1">
      <c r="B87" s="27">
        <f t="shared" si="13"/>
        <v>84</v>
      </c>
      <c r="C87" s="28" t="s">
        <v>1389</v>
      </c>
      <c r="D87" s="27" t="s">
        <v>1563</v>
      </c>
      <c r="E87" s="28"/>
      <c r="F87" s="284"/>
      <c r="G87" s="27">
        <f>TeamE!E18</f>
        <v>9</v>
      </c>
      <c r="H87" s="269">
        <f t="shared" si="14"/>
        <v>1</v>
      </c>
      <c r="I87" s="28" t="str">
        <f>TeamE!AN18</f>
        <v>○</v>
      </c>
      <c r="J87" s="28" t="str">
        <f>TeamE!AO18</f>
        <v>○</v>
      </c>
      <c r="K87" s="182">
        <v>45324</v>
      </c>
      <c r="L87" s="182">
        <v>45330</v>
      </c>
      <c r="M87" s="182" t="s">
        <v>230</v>
      </c>
      <c r="N87" s="182">
        <v>45330</v>
      </c>
      <c r="O87" s="27"/>
      <c r="P87" s="27"/>
      <c r="Q87" s="27">
        <v>0</v>
      </c>
      <c r="R87" s="27">
        <v>0</v>
      </c>
      <c r="S87" s="268">
        <f t="shared" ca="1" si="15"/>
        <v>0</v>
      </c>
    </row>
    <row r="88" spans="1:20" ht="21.95" hidden="1">
      <c r="B88" s="27">
        <f t="shared" si="13"/>
        <v>85</v>
      </c>
      <c r="C88" s="28" t="s">
        <v>1389</v>
      </c>
      <c r="D88" s="27" t="s">
        <v>1564</v>
      </c>
      <c r="E88" s="28"/>
      <c r="F88" s="284"/>
      <c r="G88" s="27">
        <f>TeamE!E19</f>
        <v>4</v>
      </c>
      <c r="H88" s="269">
        <f t="shared" si="14"/>
        <v>0.75</v>
      </c>
      <c r="I88" s="28" t="str">
        <f>TeamE!AN19</f>
        <v>△</v>
      </c>
      <c r="J88" s="28" t="str">
        <f>TeamE!AO19</f>
        <v>○</v>
      </c>
      <c r="K88" s="182">
        <v>45320</v>
      </c>
      <c r="L88" s="182"/>
      <c r="M88" s="182">
        <v>45329</v>
      </c>
      <c r="N88" s="182">
        <v>45336</v>
      </c>
      <c r="O88" s="277" t="s">
        <v>1565</v>
      </c>
      <c r="P88" s="27"/>
      <c r="Q88" s="27">
        <v>1</v>
      </c>
      <c r="R88" s="27">
        <v>0</v>
      </c>
      <c r="S88" s="268">
        <f t="shared" ca="1" si="15"/>
        <v>0</v>
      </c>
    </row>
    <row r="89" spans="1:20" ht="11.1" hidden="1">
      <c r="B89" s="27">
        <f t="shared" si="13"/>
        <v>86</v>
      </c>
      <c r="C89" s="28" t="s">
        <v>1389</v>
      </c>
      <c r="D89" s="27" t="s">
        <v>1566</v>
      </c>
      <c r="E89" s="28"/>
      <c r="F89" s="182">
        <v>45322</v>
      </c>
      <c r="G89" s="27">
        <f>TeamE!E20</f>
        <v>3</v>
      </c>
      <c r="H89" s="269">
        <f t="shared" si="14"/>
        <v>1</v>
      </c>
      <c r="I89" s="28" t="str">
        <f>TeamE!AN20</f>
        <v>◎</v>
      </c>
      <c r="J89" s="28" t="str">
        <f>TeamE!AO20</f>
        <v>○</v>
      </c>
      <c r="K89" s="182">
        <v>45322</v>
      </c>
      <c r="L89" s="182">
        <v>45328</v>
      </c>
      <c r="M89" s="182" t="s">
        <v>230</v>
      </c>
      <c r="N89" s="182"/>
      <c r="O89" s="27"/>
      <c r="P89" s="27"/>
      <c r="Q89" s="27">
        <v>0</v>
      </c>
      <c r="R89" s="27">
        <v>0</v>
      </c>
      <c r="S89" s="268">
        <f t="shared" ca="1" si="15"/>
        <v>0</v>
      </c>
    </row>
    <row r="90" spans="1:20" ht="11.1" hidden="1">
      <c r="B90" s="27">
        <f t="shared" si="13"/>
        <v>87</v>
      </c>
      <c r="C90" s="28" t="s">
        <v>1389</v>
      </c>
      <c r="D90" s="27" t="s">
        <v>1567</v>
      </c>
      <c r="E90" s="28"/>
      <c r="F90" s="182">
        <v>45314</v>
      </c>
      <c r="G90" s="27">
        <f>TeamE!E21</f>
        <v>6</v>
      </c>
      <c r="H90" s="269">
        <f t="shared" si="14"/>
        <v>1</v>
      </c>
      <c r="I90" s="28" t="str">
        <f>TeamE!AN21</f>
        <v>◎</v>
      </c>
      <c r="J90" s="28" t="str">
        <f>TeamE!AO21</f>
        <v>◎</v>
      </c>
      <c r="K90" s="182">
        <v>45322</v>
      </c>
      <c r="L90" s="182">
        <v>45315</v>
      </c>
      <c r="M90" s="182" t="s">
        <v>230</v>
      </c>
      <c r="N90" s="182"/>
      <c r="O90" s="27"/>
      <c r="P90" s="27"/>
      <c r="Q90" s="27">
        <v>0</v>
      </c>
      <c r="R90" s="27">
        <v>0</v>
      </c>
      <c r="S90" s="268">
        <f t="shared" ca="1" si="15"/>
        <v>0</v>
      </c>
    </row>
    <row r="91" spans="1:20" ht="11.1" hidden="1">
      <c r="B91" s="27">
        <f t="shared" si="13"/>
        <v>88</v>
      </c>
      <c r="C91" s="28" t="s">
        <v>1389</v>
      </c>
      <c r="D91" s="27" t="s">
        <v>1568</v>
      </c>
      <c r="E91" s="28" t="s">
        <v>1402</v>
      </c>
      <c r="F91" s="284"/>
      <c r="G91" s="27">
        <f>TeamE!E22</f>
        <v>6</v>
      </c>
      <c r="H91" s="269">
        <f t="shared" si="14"/>
        <v>0.83333333333333337</v>
      </c>
      <c r="I91" s="28" t="str">
        <f>TeamE!AN22</f>
        <v>△</v>
      </c>
      <c r="J91" s="28" t="str">
        <f>TeamE!AO22</f>
        <v>○</v>
      </c>
      <c r="K91" s="182">
        <v>45323</v>
      </c>
      <c r="L91" s="182"/>
      <c r="M91" s="182">
        <v>45337</v>
      </c>
      <c r="N91" s="182">
        <v>45342</v>
      </c>
      <c r="O91" s="277" t="s">
        <v>1569</v>
      </c>
      <c r="P91" s="27"/>
      <c r="Q91" s="27">
        <v>1</v>
      </c>
      <c r="R91" s="27">
        <v>0</v>
      </c>
      <c r="S91" s="268">
        <f t="shared" ca="1" si="15"/>
        <v>0</v>
      </c>
      <c r="T91" t="s">
        <v>1570</v>
      </c>
    </row>
    <row r="92" spans="1:20" ht="11.1" hidden="1">
      <c r="A92" t="s">
        <v>1388</v>
      </c>
      <c r="B92" s="27">
        <f t="shared" si="13"/>
        <v>89</v>
      </c>
      <c r="C92" s="28" t="s">
        <v>1389</v>
      </c>
      <c r="D92" s="27" t="s">
        <v>1571</v>
      </c>
      <c r="E92" s="28"/>
      <c r="F92" s="27"/>
      <c r="G92" s="27">
        <f>TeamE!E23</f>
        <v>5</v>
      </c>
      <c r="H92" s="269">
        <f t="shared" si="14"/>
        <v>1</v>
      </c>
      <c r="I92" s="28" t="str">
        <f>TeamE!AN23</f>
        <v>△</v>
      </c>
      <c r="J92" s="28" t="str">
        <f>TeamE!AO23</f>
        <v>○</v>
      </c>
      <c r="K92" s="182">
        <v>45324</v>
      </c>
      <c r="L92" s="182"/>
      <c r="M92" s="182">
        <v>45335</v>
      </c>
      <c r="N92" s="182">
        <v>45338</v>
      </c>
      <c r="O92" s="228" t="s">
        <v>1572</v>
      </c>
      <c r="P92" s="27"/>
      <c r="Q92" s="27">
        <v>0</v>
      </c>
      <c r="R92" s="27">
        <v>2</v>
      </c>
      <c r="S92" s="268">
        <f t="shared" ca="1" si="15"/>
        <v>0</v>
      </c>
      <c r="T92" t="s">
        <v>1573</v>
      </c>
    </row>
    <row r="93" spans="1:20" ht="33" hidden="1">
      <c r="B93" s="27">
        <f t="shared" si="13"/>
        <v>90</v>
      </c>
      <c r="C93" s="28" t="s">
        <v>1389</v>
      </c>
      <c r="D93" s="27" t="s">
        <v>1574</v>
      </c>
      <c r="E93" s="28"/>
      <c r="F93" s="182">
        <v>45328</v>
      </c>
      <c r="G93" s="27">
        <f>TeamE!E24</f>
        <v>7</v>
      </c>
      <c r="H93" s="269">
        <f t="shared" si="14"/>
        <v>0.8571428571428571</v>
      </c>
      <c r="I93" s="28" t="str">
        <f>TeamE!AN24</f>
        <v>○</v>
      </c>
      <c r="J93" s="28" t="str">
        <f>TeamE!AO24</f>
        <v>○</v>
      </c>
      <c r="K93" s="182">
        <v>45320</v>
      </c>
      <c r="L93" s="182"/>
      <c r="M93" s="182" t="s">
        <v>230</v>
      </c>
      <c r="N93" s="182"/>
      <c r="O93" s="29" t="s">
        <v>1575</v>
      </c>
      <c r="P93" s="27"/>
      <c r="Q93" s="27">
        <v>1</v>
      </c>
      <c r="R93" s="27">
        <v>1</v>
      </c>
      <c r="S93" s="268">
        <f t="shared" ca="1" si="15"/>
        <v>0</v>
      </c>
      <c r="T93" s="99" t="s">
        <v>1557</v>
      </c>
    </row>
    <row r="94" spans="1:20" ht="11.1" hidden="1">
      <c r="B94" s="27">
        <f t="shared" si="13"/>
        <v>91</v>
      </c>
      <c r="C94" s="28" t="s">
        <v>1389</v>
      </c>
      <c r="D94" s="27" t="s">
        <v>1576</v>
      </c>
      <c r="E94" s="28"/>
      <c r="F94" s="284"/>
      <c r="G94" s="27">
        <f>TeamE!E25</f>
        <v>5</v>
      </c>
      <c r="H94" s="269">
        <f t="shared" si="14"/>
        <v>1</v>
      </c>
      <c r="I94" s="28" t="str">
        <f>TeamE!AN25</f>
        <v>○</v>
      </c>
      <c r="J94" s="28" t="str">
        <f>TeamE!AO25</f>
        <v>△</v>
      </c>
      <c r="K94" s="182">
        <v>45323</v>
      </c>
      <c r="L94" s="182"/>
      <c r="M94" s="182">
        <v>45330</v>
      </c>
      <c r="N94" s="182">
        <v>45337</v>
      </c>
      <c r="O94" s="29"/>
      <c r="P94" s="27"/>
      <c r="Q94" s="27">
        <v>0</v>
      </c>
      <c r="R94" s="27">
        <v>0</v>
      </c>
      <c r="S94" s="268">
        <f t="shared" ca="1" si="15"/>
        <v>0</v>
      </c>
    </row>
    <row r="95" spans="1:20" ht="11.1" hidden="1">
      <c r="B95" s="27">
        <f t="shared" si="13"/>
        <v>92</v>
      </c>
      <c r="C95" s="28" t="s">
        <v>1389</v>
      </c>
      <c r="D95" s="27" t="s">
        <v>1577</v>
      </c>
      <c r="E95" s="28"/>
      <c r="F95" s="27"/>
      <c r="G95" s="27">
        <f>TeamE!E26</f>
        <v>4</v>
      </c>
      <c r="H95" s="269">
        <f t="shared" si="14"/>
        <v>0.5</v>
      </c>
      <c r="I95" s="28" t="str">
        <f>TeamE!AN26</f>
        <v>○</v>
      </c>
      <c r="J95" s="28" t="str">
        <f>TeamE!AO26</f>
        <v>△</v>
      </c>
      <c r="K95" s="182">
        <v>45324</v>
      </c>
      <c r="M95" s="182">
        <v>45330</v>
      </c>
      <c r="N95" s="182">
        <v>45337</v>
      </c>
      <c r="O95" s="230" t="s">
        <v>1578</v>
      </c>
      <c r="P95" s="27"/>
      <c r="Q95" s="27">
        <v>2</v>
      </c>
      <c r="R95" s="27">
        <v>0</v>
      </c>
      <c r="S95" s="268">
        <f t="shared" ca="1" si="15"/>
        <v>0</v>
      </c>
    </row>
    <row r="96" spans="1:20" ht="11.1" hidden="1">
      <c r="B96" s="27">
        <f t="shared" si="13"/>
        <v>93</v>
      </c>
      <c r="C96" s="28" t="s">
        <v>1390</v>
      </c>
      <c r="D96" s="27" t="str">
        <f>TeamF!B10</f>
        <v>Chun Yee, Joey Tan</v>
      </c>
      <c r="E96" s="28"/>
      <c r="F96" s="182">
        <v>45322</v>
      </c>
      <c r="G96" s="27">
        <f>TeamF!E10</f>
        <v>5</v>
      </c>
      <c r="H96" s="269">
        <f t="shared" si="14"/>
        <v>1</v>
      </c>
      <c r="I96" s="28" t="str">
        <f>TeamF!AN10</f>
        <v>○</v>
      </c>
      <c r="J96" s="28" t="str">
        <f>TeamF!AO10</f>
        <v>○</v>
      </c>
      <c r="K96" s="182"/>
      <c r="L96" s="182"/>
      <c r="M96" s="182" t="s">
        <v>230</v>
      </c>
      <c r="N96" s="182">
        <v>45322</v>
      </c>
      <c r="O96" s="27"/>
      <c r="P96" s="27"/>
      <c r="Q96" s="27">
        <v>0</v>
      </c>
      <c r="R96" s="27">
        <v>0</v>
      </c>
      <c r="S96" s="268">
        <f t="shared" ca="1" si="15"/>
        <v>0</v>
      </c>
    </row>
    <row r="97" spans="2:19" ht="11.1" hidden="1">
      <c r="B97" s="27">
        <f t="shared" si="13"/>
        <v>94</v>
      </c>
      <c r="C97" s="28" t="s">
        <v>1390</v>
      </c>
      <c r="D97" s="27" t="str">
        <f>TeamF!B11</f>
        <v>De Bei, Koh</v>
      </c>
      <c r="E97" s="28"/>
      <c r="F97" s="182">
        <v>45322</v>
      </c>
      <c r="G97" s="27">
        <f>TeamF!E11</f>
        <v>2</v>
      </c>
      <c r="H97" s="269">
        <f t="shared" si="14"/>
        <v>1</v>
      </c>
      <c r="I97" s="28" t="str">
        <f>TeamF!AN11</f>
        <v>○</v>
      </c>
      <c r="J97" s="28" t="str">
        <f>TeamF!AO11</f>
        <v>○</v>
      </c>
      <c r="K97" s="182"/>
      <c r="L97" s="182"/>
      <c r="M97" s="182" t="s">
        <v>230</v>
      </c>
      <c r="N97" s="182">
        <v>45322</v>
      </c>
      <c r="O97" s="27"/>
      <c r="P97" s="27"/>
      <c r="Q97" s="27">
        <v>0</v>
      </c>
      <c r="R97" s="27">
        <v>0</v>
      </c>
      <c r="S97" s="268">
        <f t="shared" ca="1" si="15"/>
        <v>0</v>
      </c>
    </row>
    <row r="98" spans="2:19" ht="11.1">
      <c r="B98" s="27">
        <f t="shared" si="13"/>
        <v>95</v>
      </c>
      <c r="C98" s="28" t="s">
        <v>1390</v>
      </c>
      <c r="D98" s="27" t="str">
        <f>TeamF!B12</f>
        <v>Hor Guang Yao</v>
      </c>
      <c r="E98" s="28" t="s">
        <v>1402</v>
      </c>
      <c r="F98" s="182">
        <v>45314</v>
      </c>
      <c r="G98" s="27">
        <f>TeamF!E12</f>
        <v>4</v>
      </c>
      <c r="H98" s="269">
        <f t="shared" si="14"/>
        <v>1</v>
      </c>
      <c r="I98" s="28" t="str">
        <f>TeamF!AN12</f>
        <v>×</v>
      </c>
      <c r="J98" s="28" t="str">
        <f>TeamF!AO12</f>
        <v>×</v>
      </c>
      <c r="K98" s="182"/>
      <c r="L98" s="182"/>
      <c r="M98" s="182" t="s">
        <v>230</v>
      </c>
      <c r="N98" s="182">
        <v>44957</v>
      </c>
      <c r="O98" s="270"/>
      <c r="P98" s="27"/>
      <c r="Q98" s="27">
        <v>0</v>
      </c>
      <c r="R98" s="27">
        <v>0</v>
      </c>
      <c r="S98" s="268">
        <f t="shared" ca="1" si="15"/>
        <v>0</v>
      </c>
    </row>
    <row r="99" spans="2:19" ht="11.1" hidden="1">
      <c r="B99" s="27">
        <f t="shared" si="13"/>
        <v>96</v>
      </c>
      <c r="C99" s="28" t="s">
        <v>1390</v>
      </c>
      <c r="D99" s="27" t="str">
        <f>TeamF!B13</f>
        <v>Ng Jing Wen</v>
      </c>
      <c r="E99" s="28"/>
      <c r="F99" s="182">
        <v>45322</v>
      </c>
      <c r="G99" s="27">
        <f>TeamF!E13</f>
        <v>4</v>
      </c>
      <c r="H99" s="269">
        <f t="shared" si="14"/>
        <v>1</v>
      </c>
      <c r="I99" s="28" t="str">
        <f>TeamF!AN13</f>
        <v>○</v>
      </c>
      <c r="J99" s="28" t="str">
        <f>TeamF!AO13</f>
        <v>○</v>
      </c>
      <c r="K99" s="182"/>
      <c r="L99" s="182"/>
      <c r="M99" s="182" t="s">
        <v>230</v>
      </c>
      <c r="N99" s="182">
        <v>45322</v>
      </c>
      <c r="O99" s="270"/>
      <c r="P99" s="27"/>
      <c r="Q99" s="27">
        <v>0</v>
      </c>
      <c r="R99" s="27">
        <v>0</v>
      </c>
      <c r="S99" s="268">
        <f t="shared" ca="1" si="15"/>
        <v>0</v>
      </c>
    </row>
    <row r="100" spans="2:19" ht="11.1" hidden="1">
      <c r="B100" s="27">
        <f t="shared" si="13"/>
        <v>97</v>
      </c>
      <c r="C100" s="28" t="s">
        <v>1390</v>
      </c>
      <c r="D100" s="27" t="str">
        <f>TeamF!B14</f>
        <v>Teo Jun Jie</v>
      </c>
      <c r="E100" s="28"/>
      <c r="F100" s="182">
        <v>45314</v>
      </c>
      <c r="G100" s="27">
        <f>TeamF!E14</f>
        <v>3</v>
      </c>
      <c r="H100" s="269">
        <f t="shared" ref="H100" si="16">(G100-Q100)/G100</f>
        <v>1</v>
      </c>
      <c r="I100" s="28" t="str">
        <f>TeamF!AN14</f>
        <v>◎</v>
      </c>
      <c r="J100" s="28" t="str">
        <f>TeamF!AO14</f>
        <v>◎</v>
      </c>
      <c r="K100" s="182"/>
      <c r="L100" s="182"/>
      <c r="M100" s="182" t="s">
        <v>230</v>
      </c>
      <c r="N100" s="182">
        <v>45322</v>
      </c>
      <c r="O100" s="27"/>
      <c r="P100" s="27"/>
      <c r="Q100" s="27">
        <v>0</v>
      </c>
      <c r="R100" s="27">
        <v>0</v>
      </c>
      <c r="S100" s="268">
        <f t="shared" ca="1" si="15"/>
        <v>0</v>
      </c>
    </row>
    <row r="103" spans="2:19" ht="12" customHeight="1">
      <c r="D103" s="358" t="s">
        <v>1441</v>
      </c>
      <c r="E103" s="166"/>
      <c r="F103" s="265">
        <v>45292</v>
      </c>
      <c r="G103" s="265">
        <v>45322</v>
      </c>
      <c r="H103" s="266">
        <v>45328</v>
      </c>
      <c r="I103" s="172" t="s">
        <v>1579</v>
      </c>
      <c r="J103" s="172"/>
    </row>
    <row r="104" spans="2:19" ht="12" customHeight="1">
      <c r="D104" s="410" t="s">
        <v>1385</v>
      </c>
      <c r="E104" s="4"/>
      <c r="F104" s="3">
        <f>COUNTIFS($C$4:$C$100,$D104,$F$4:$F$100,$F$90)</f>
        <v>3</v>
      </c>
      <c r="G104" s="3">
        <f t="shared" ref="G104:G109" si="17">COUNTIFS($C$4:$C$100,$D104,$F$4:$F$100,$F$96)</f>
        <v>1</v>
      </c>
      <c r="H104" s="3">
        <f t="shared" ref="H104:H109" si="18">COUNTIFS($C$4:$C$100,$D104,$F$4:$F$100,$F$93)</f>
        <v>8</v>
      </c>
      <c r="I104" s="3">
        <f t="shared" ref="I104:I109" si="19">COUNTIFS($C$4:$C$100,$D104,$F$4:$F$100,"")</f>
        <v>6</v>
      </c>
      <c r="J104" s="3"/>
      <c r="K104" s="361"/>
      <c r="L104" s="359"/>
      <c r="M104" s="359"/>
      <c r="N104" s="359"/>
      <c r="O104" s="359"/>
      <c r="Q104" s="359"/>
    </row>
    <row r="105" spans="2:19" ht="12" customHeight="1">
      <c r="D105" s="410" t="s">
        <v>1386</v>
      </c>
      <c r="E105" s="4"/>
      <c r="F105" s="3">
        <f>COUNTIFS($C$4:$C$100,D105,$F$4:$F$100,$F$90)</f>
        <v>1</v>
      </c>
      <c r="G105" s="3">
        <f t="shared" si="17"/>
        <v>8</v>
      </c>
      <c r="H105" s="3">
        <f t="shared" si="18"/>
        <v>4</v>
      </c>
      <c r="I105" s="3">
        <f t="shared" si="19"/>
        <v>0</v>
      </c>
      <c r="J105" s="3"/>
      <c r="K105" s="361"/>
      <c r="L105" s="359"/>
      <c r="M105" s="359"/>
      <c r="N105" s="359"/>
      <c r="O105" s="359"/>
      <c r="Q105" s="359"/>
    </row>
    <row r="106" spans="2:19" ht="12" customHeight="1">
      <c r="D106" s="410" t="s">
        <v>1387</v>
      </c>
      <c r="E106" s="4"/>
      <c r="F106" s="3">
        <f>COUNTIFS($C$4:$C$100,D106,$F$4:$F$100,$F$90)</f>
        <v>2</v>
      </c>
      <c r="G106" s="3">
        <f t="shared" si="17"/>
        <v>3</v>
      </c>
      <c r="H106" s="3">
        <f t="shared" si="18"/>
        <v>5</v>
      </c>
      <c r="I106" s="3">
        <f t="shared" si="19"/>
        <v>9</v>
      </c>
      <c r="J106" s="3"/>
      <c r="K106" s="361"/>
      <c r="L106" s="359"/>
      <c r="M106" s="359"/>
      <c r="N106" s="359"/>
      <c r="O106" s="359"/>
      <c r="Q106" s="359"/>
    </row>
    <row r="107" spans="2:19" ht="12" customHeight="1">
      <c r="D107" s="410" t="s">
        <v>1388</v>
      </c>
      <c r="E107" s="4"/>
      <c r="F107" s="3">
        <f>COUNTIFS($C$4:$C$100,D107,$F$4:$F$100,$F$90)</f>
        <v>1</v>
      </c>
      <c r="G107" s="3">
        <f t="shared" si="17"/>
        <v>3</v>
      </c>
      <c r="H107" s="3">
        <f t="shared" si="18"/>
        <v>1</v>
      </c>
      <c r="I107" s="3">
        <f t="shared" si="19"/>
        <v>14</v>
      </c>
      <c r="J107" s="3"/>
      <c r="K107" s="361"/>
      <c r="L107" s="359"/>
      <c r="M107" s="359"/>
      <c r="N107" s="359"/>
      <c r="O107" s="359"/>
      <c r="Q107" s="359"/>
    </row>
    <row r="108" spans="2:19" ht="12" customHeight="1">
      <c r="D108" s="410" t="s">
        <v>1389</v>
      </c>
      <c r="E108" s="4"/>
      <c r="F108" s="3">
        <f>COUNTIFS($C$4:$C$100,D108,$F$4:$F$100,$F$90)</f>
        <v>3</v>
      </c>
      <c r="G108" s="3">
        <f t="shared" si="17"/>
        <v>3</v>
      </c>
      <c r="H108" s="3">
        <f t="shared" si="18"/>
        <v>1</v>
      </c>
      <c r="I108" s="3">
        <f t="shared" si="19"/>
        <v>10</v>
      </c>
      <c r="J108" s="3"/>
      <c r="K108" s="361"/>
      <c r="L108" s="359"/>
      <c r="M108" s="359"/>
      <c r="N108" s="359"/>
      <c r="O108" s="359"/>
      <c r="Q108" s="359"/>
    </row>
    <row r="109" spans="2:19" ht="12" customHeight="1">
      <c r="D109" s="410" t="s">
        <v>1390</v>
      </c>
      <c r="E109" s="4"/>
      <c r="F109" s="3">
        <f>COUNTIFS($C$4:$C$100,D109,$F$4:$F$100,$F$90)</f>
        <v>2</v>
      </c>
      <c r="G109" s="3">
        <f t="shared" si="17"/>
        <v>3</v>
      </c>
      <c r="H109" s="3">
        <f t="shared" si="18"/>
        <v>0</v>
      </c>
      <c r="I109" s="3">
        <f t="shared" si="19"/>
        <v>0</v>
      </c>
      <c r="J109" s="3"/>
      <c r="K109" s="361"/>
      <c r="L109" s="359"/>
      <c r="M109" s="359"/>
      <c r="N109" s="359"/>
      <c r="O109" s="359"/>
      <c r="Q109" s="359"/>
    </row>
    <row r="110" spans="2:19" ht="12" customHeight="1">
      <c r="D110" s="410" t="s">
        <v>1451</v>
      </c>
      <c r="E110" s="4"/>
      <c r="F110" s="3">
        <f>SUM(F104:F109)</f>
        <v>12</v>
      </c>
      <c r="G110" s="3">
        <f>SUM(G104:G109)</f>
        <v>21</v>
      </c>
      <c r="H110" s="3">
        <f>SUM(H104:H109)</f>
        <v>19</v>
      </c>
      <c r="I110" s="3">
        <f>SUM(I104:I109)</f>
        <v>39</v>
      </c>
      <c r="J110" s="3">
        <f>SUM(F110:I110)</f>
        <v>91</v>
      </c>
    </row>
    <row r="113" spans="4:13" ht="12" customHeight="1">
      <c r="D113" s="358" t="s">
        <v>1580</v>
      </c>
      <c r="E113" s="166"/>
      <c r="F113" s="166" t="s">
        <v>1385</v>
      </c>
      <c r="G113" s="166" t="s">
        <v>1386</v>
      </c>
      <c r="H113" s="166" t="s">
        <v>1387</v>
      </c>
      <c r="I113" s="166" t="s">
        <v>1388</v>
      </c>
      <c r="J113" s="166" t="s">
        <v>1389</v>
      </c>
      <c r="K113" s="264" t="s">
        <v>1390</v>
      </c>
      <c r="L113" s="166" t="s">
        <v>1451</v>
      </c>
    </row>
    <row r="114" spans="4:13" ht="12" customHeight="1">
      <c r="D114" s="410" t="s">
        <v>389</v>
      </c>
      <c r="E114" s="4"/>
      <c r="F114" s="3">
        <f>COUNTIFS($C$4:$C$100,$F$113,$F$4:$F$100,$F$90,$I$4:$I$100,$D$114)</f>
        <v>0</v>
      </c>
      <c r="G114" s="3">
        <f>COUNTIFS($C$4:$C$100,$G$113,$F$4:$F$100,$F$90,$I$4:$I$100,$D114)</f>
        <v>1</v>
      </c>
      <c r="H114" s="3">
        <f>COUNTIFS($C$4:$C$100,$H$113,$F$4:$F$100,$F$90,$I$4:$I$100,$D114)</f>
        <v>0</v>
      </c>
      <c r="I114" s="3">
        <f>COUNTIFS($C$4:$C$100,$I$113,$F$4:$F$100,$F$90,$I$4:$I$100,$D114)</f>
        <v>0</v>
      </c>
      <c r="J114" s="3">
        <f>COUNTIFS($C$4:$C$100,$J$113,$F$4:$F$100,$F$90,$I$4:$I$100,$D114)</f>
        <v>3</v>
      </c>
      <c r="K114" s="81">
        <f>COUNTIFS($C$4:$C$100,$K$113,$F$4:$F$100,$F$90,$I$4:$I$100,$D114)</f>
        <v>1</v>
      </c>
      <c r="L114" s="3"/>
    </row>
    <row r="115" spans="4:13" ht="12" customHeight="1">
      <c r="D115" s="410" t="s">
        <v>168</v>
      </c>
      <c r="E115" s="4"/>
      <c r="F115" s="3">
        <f>COUNTIFS($C$4:$C$100,$F$113,$F$4:$F$100,$F$90,$I$4:$I$100,$D115)</f>
        <v>0</v>
      </c>
      <c r="G115" s="3">
        <f>COUNTIFS($C$4:$C$100,$G$113,$F$4:$F$100,$F$90,$I$4:$I$100,$D115)</f>
        <v>0</v>
      </c>
      <c r="H115" s="3">
        <f>COUNTIFS($C$4:$C$100,$H$113,$F$4:$F$100,$F$90,$I$4:$I$100,$D115)</f>
        <v>0</v>
      </c>
      <c r="I115" s="3">
        <f>COUNTIFS($C$4:$C$100,$I$113,$F$4:$F$100,$F$90,$I$4:$I$100,$D115)</f>
        <v>0</v>
      </c>
      <c r="J115" s="3">
        <f>COUNTIFS($C$4:$C$100,$J$113,$F$4:$F$100,$F$90,$I$4:$I$100,$D115)</f>
        <v>0</v>
      </c>
      <c r="K115" s="81">
        <f>COUNTIFS($C$4:$C$100,$K$113,$F$4:$F$100,$F$90,$I$4:$I$100,$D115)</f>
        <v>0</v>
      </c>
      <c r="L115" s="3"/>
    </row>
    <row r="116" spans="4:13" ht="12" customHeight="1">
      <c r="D116" s="410" t="s">
        <v>174</v>
      </c>
      <c r="E116" s="4"/>
      <c r="F116" s="3">
        <f>COUNTIFS($C$4:$C$100,$F$113,$F$4:$F$100,$F$90,$I$4:$I$100,$D116)</f>
        <v>0</v>
      </c>
      <c r="G116" s="3">
        <f>COUNTIFS($C$4:$C$100,$G$113,$F$4:$F$100,$F$90,$I$4:$I$100,$D116)</f>
        <v>0</v>
      </c>
      <c r="H116" s="3">
        <f>COUNTIFS($C$4:$C$100,$H$113,$F$4:$F$100,$F$90,$I$4:$I$100,$D116)</f>
        <v>0</v>
      </c>
      <c r="I116" s="3">
        <f>COUNTIFS($C$4:$C$100,$I$113,$F$4:$F$100,$F$90,$I$4:$I$100,$D116)</f>
        <v>0</v>
      </c>
      <c r="J116" s="3">
        <f>COUNTIFS($C$4:$C$100,$J$113,$F$4:$F$100,$F$90,$I$4:$I$100,$D116)</f>
        <v>0</v>
      </c>
      <c r="K116" s="81">
        <f>COUNTIFS($C$4:$C$100,$K$113,$F$4:$F$100,$F$90,$I$4:$I$100,$D116)</f>
        <v>0</v>
      </c>
      <c r="L116" s="3"/>
    </row>
    <row r="117" spans="4:13" ht="12" customHeight="1">
      <c r="D117" s="410" t="s">
        <v>178</v>
      </c>
      <c r="E117" s="4"/>
      <c r="F117" s="3">
        <f>COUNTIFS($C$4:$C$100,$F$113,$F$4:$F$100,$F$90,$I$4:$I$100,$D117)</f>
        <v>3</v>
      </c>
      <c r="G117" s="3">
        <f>COUNTIFS($C$4:$C$100,$G$113,$F$4:$F$100,$F$90,$I$4:$I$100,$D117)</f>
        <v>0</v>
      </c>
      <c r="H117" s="3">
        <f>COUNTIFS($C$4:$C$100,$H$113,$F$4:$F$100,$F$90,$I$4:$I$100,$D117)</f>
        <v>2</v>
      </c>
      <c r="I117" s="3">
        <f>COUNTIFS($C$4:$C$100,$I$113,$F$4:$F$100,$F$90,$I$4:$I$100,$D117)</f>
        <v>1</v>
      </c>
      <c r="J117" s="3">
        <f>COUNTIFS($C$4:$C$100,$J$113,$F$4:$F$100,$F$90,$I$4:$I$100,$D117)</f>
        <v>0</v>
      </c>
      <c r="K117" s="81">
        <f>COUNTIFS($C$4:$C$100,$K$113,$F$4:$F$100,$F$90,$I$4:$I$100,$D117)</f>
        <v>1</v>
      </c>
      <c r="L117" s="229">
        <f>SUM(F117:K117)</f>
        <v>7</v>
      </c>
      <c r="M117" t="s">
        <v>1410</v>
      </c>
    </row>
    <row r="118" spans="4:13" ht="12" customHeight="1">
      <c r="D118" s="410" t="s">
        <v>1451</v>
      </c>
      <c r="E118" s="4"/>
      <c r="F118" s="3">
        <f t="shared" ref="F118:K118" si="20">SUM(F114:F117)</f>
        <v>3</v>
      </c>
      <c r="G118" s="3">
        <f t="shared" si="20"/>
        <v>1</v>
      </c>
      <c r="H118" s="3">
        <f t="shared" si="20"/>
        <v>2</v>
      </c>
      <c r="I118" s="3">
        <f t="shared" si="20"/>
        <v>1</v>
      </c>
      <c r="J118" s="3">
        <f t="shared" si="20"/>
        <v>3</v>
      </c>
      <c r="K118" s="81">
        <f t="shared" si="20"/>
        <v>2</v>
      </c>
      <c r="L118" s="132">
        <f>SUM(F118:K118)</f>
        <v>12</v>
      </c>
    </row>
    <row r="120" spans="4:13" ht="12" customHeight="1">
      <c r="D120" s="358" t="s">
        <v>1581</v>
      </c>
      <c r="E120" s="166"/>
      <c r="F120" s="166" t="s">
        <v>1385</v>
      </c>
      <c r="G120" s="166" t="s">
        <v>1386</v>
      </c>
      <c r="H120" s="166" t="s">
        <v>1387</v>
      </c>
      <c r="I120" s="166" t="s">
        <v>1388</v>
      </c>
      <c r="J120" s="166" t="s">
        <v>1389</v>
      </c>
      <c r="K120" s="166" t="s">
        <v>1390</v>
      </c>
      <c r="L120" s="166" t="s">
        <v>1451</v>
      </c>
    </row>
    <row r="121" spans="4:13" ht="12" customHeight="1">
      <c r="D121" s="410" t="s">
        <v>389</v>
      </c>
      <c r="E121" s="4"/>
      <c r="F121" s="3">
        <f>COUNTIFS($C$4:$C$100,$F$120,$F$4:$F$100,$F$99,$I$4:$I$100,$D121)</f>
        <v>1</v>
      </c>
      <c r="G121" s="3">
        <f>COUNTIFS($C$4:$C$100,$G$120,$F$4:$F$100,$F$99,$I$4:$I$100,$D121)</f>
        <v>6</v>
      </c>
      <c r="H121" s="3">
        <f t="shared" ref="H121:K124" si="21">COUNTIFS($C$4:$C$100,H$120,$F$4:$F$100,$F$99,$I$4:$I$100,$D121)</f>
        <v>1</v>
      </c>
      <c r="I121" s="3">
        <f t="shared" si="21"/>
        <v>0</v>
      </c>
      <c r="J121" s="3">
        <f t="shared" si="21"/>
        <v>1</v>
      </c>
      <c r="K121" s="3">
        <f t="shared" si="21"/>
        <v>0</v>
      </c>
      <c r="L121" s="3"/>
    </row>
    <row r="122" spans="4:13" ht="12" customHeight="1">
      <c r="D122" s="410" t="s">
        <v>168</v>
      </c>
      <c r="E122" s="4"/>
      <c r="F122" s="3">
        <f>COUNTIFS($C$4:$C$100,$F$120,$F$4:$F$100,$F$99,$I$4:$I$100,$D122)</f>
        <v>0</v>
      </c>
      <c r="G122" s="3">
        <f>COUNTIFS($C$4:$C$100,$G$120,$F$4:$F$100,$F$99,$I$4:$I$100,$D122)</f>
        <v>1</v>
      </c>
      <c r="H122" s="3">
        <f t="shared" si="21"/>
        <v>1</v>
      </c>
      <c r="I122" s="3">
        <f t="shared" si="21"/>
        <v>3</v>
      </c>
      <c r="J122" s="3">
        <f t="shared" si="21"/>
        <v>2</v>
      </c>
      <c r="K122" s="3">
        <f t="shared" si="21"/>
        <v>3</v>
      </c>
      <c r="L122" s="3"/>
    </row>
    <row r="123" spans="4:13" ht="12" customHeight="1">
      <c r="D123" s="410" t="s">
        <v>174</v>
      </c>
      <c r="E123" s="4"/>
      <c r="F123" s="3">
        <f>COUNTIFS($C$4:$C$100,$F$120,$F$4:$F$100,$F$99,$I$4:$I$100,$D123)</f>
        <v>0</v>
      </c>
      <c r="G123" s="3">
        <f>COUNTIFS($C$4:$C$100,$G$120,$F$4:$F$100,$F$99,$I$4:$I$100,$D123)</f>
        <v>1</v>
      </c>
      <c r="H123" s="3">
        <f t="shared" si="21"/>
        <v>1</v>
      </c>
      <c r="I123" s="3">
        <f t="shared" si="21"/>
        <v>0</v>
      </c>
      <c r="J123" s="3">
        <f t="shared" si="21"/>
        <v>0</v>
      </c>
      <c r="K123" s="3">
        <f t="shared" si="21"/>
        <v>0</v>
      </c>
      <c r="L123" s="3"/>
    </row>
    <row r="124" spans="4:13" ht="12" customHeight="1">
      <c r="D124" s="410" t="s">
        <v>178</v>
      </c>
      <c r="E124" s="4"/>
      <c r="F124" s="3">
        <f>COUNTIFS($C$4:$C$100,$F$120,$F$4:$F$100,$F$99,$I$4:$I$100,$D124)</f>
        <v>0</v>
      </c>
      <c r="G124" s="3">
        <f>COUNTIFS($C$4:$C$100,$G$120,$F$4:$F$100,$F$99,$I$4:$I$100,$D124)</f>
        <v>0</v>
      </c>
      <c r="H124" s="3">
        <f t="shared" si="21"/>
        <v>0</v>
      </c>
      <c r="I124" s="3">
        <f t="shared" si="21"/>
        <v>0</v>
      </c>
      <c r="J124" s="3">
        <f t="shared" si="21"/>
        <v>0</v>
      </c>
      <c r="K124" s="3">
        <f t="shared" si="21"/>
        <v>0</v>
      </c>
      <c r="L124" s="229">
        <f>SUM(F124:K124)</f>
        <v>0</v>
      </c>
      <c r="M124" t="s">
        <v>1410</v>
      </c>
    </row>
    <row r="125" spans="4:13" ht="12" customHeight="1">
      <c r="D125" s="410" t="s">
        <v>1451</v>
      </c>
      <c r="E125" s="4"/>
      <c r="F125" s="3">
        <f t="shared" ref="F125:K125" si="22">SUM(F121:F124)</f>
        <v>1</v>
      </c>
      <c r="G125" s="3">
        <f t="shared" si="22"/>
        <v>8</v>
      </c>
      <c r="H125" s="3">
        <f t="shared" si="22"/>
        <v>3</v>
      </c>
      <c r="I125" s="3">
        <f t="shared" si="22"/>
        <v>3</v>
      </c>
      <c r="J125" s="3">
        <f t="shared" si="22"/>
        <v>3</v>
      </c>
      <c r="K125" s="3">
        <f t="shared" si="22"/>
        <v>3</v>
      </c>
      <c r="L125" s="132">
        <f>SUM(F125:K125)</f>
        <v>21</v>
      </c>
    </row>
    <row r="127" spans="4:13" ht="12" customHeight="1">
      <c r="D127" s="358" t="s">
        <v>1582</v>
      </c>
      <c r="E127" s="166"/>
      <c r="F127" s="166" t="s">
        <v>1385</v>
      </c>
      <c r="G127" s="166" t="s">
        <v>1386</v>
      </c>
      <c r="H127" s="166" t="s">
        <v>1387</v>
      </c>
      <c r="I127" s="166" t="s">
        <v>1388</v>
      </c>
      <c r="J127" s="166" t="s">
        <v>1389</v>
      </c>
      <c r="K127" s="166" t="s">
        <v>1390</v>
      </c>
      <c r="L127" s="166" t="s">
        <v>1451</v>
      </c>
    </row>
    <row r="128" spans="4:13" ht="12" customHeight="1">
      <c r="D128" s="410" t="s">
        <v>389</v>
      </c>
      <c r="E128" s="4"/>
      <c r="F128" s="3">
        <f t="shared" ref="F128:K131" si="23">COUNTIFS($C$4:$C$100,F$127,$F$4:$F$100,$F$93,$I$4:$I$100,$D128)</f>
        <v>7</v>
      </c>
      <c r="G128" s="3">
        <f t="shared" si="23"/>
        <v>1</v>
      </c>
      <c r="H128" s="3">
        <f t="shared" si="23"/>
        <v>3</v>
      </c>
      <c r="I128" s="3">
        <f t="shared" si="23"/>
        <v>1</v>
      </c>
      <c r="J128" s="3">
        <f t="shared" si="23"/>
        <v>0</v>
      </c>
      <c r="K128" s="3">
        <f t="shared" si="23"/>
        <v>0</v>
      </c>
      <c r="L128" s="3"/>
    </row>
    <row r="129" spans="4:19" ht="12" customHeight="1">
      <c r="D129" s="410" t="s">
        <v>168</v>
      </c>
      <c r="E129" s="4"/>
      <c r="F129" s="3">
        <f t="shared" si="23"/>
        <v>1</v>
      </c>
      <c r="G129" s="3">
        <f t="shared" si="23"/>
        <v>3</v>
      </c>
      <c r="H129" s="3">
        <f t="shared" si="23"/>
        <v>2</v>
      </c>
      <c r="I129" s="3">
        <f t="shared" si="23"/>
        <v>0</v>
      </c>
      <c r="J129" s="3">
        <f t="shared" si="23"/>
        <v>1</v>
      </c>
      <c r="K129" s="3">
        <f t="shared" si="23"/>
        <v>0</v>
      </c>
      <c r="L129" s="3"/>
    </row>
    <row r="130" spans="4:19" ht="12" customHeight="1">
      <c r="D130" s="410" t="s">
        <v>174</v>
      </c>
      <c r="E130" s="4"/>
      <c r="F130" s="3">
        <f t="shared" si="23"/>
        <v>0</v>
      </c>
      <c r="G130" s="3">
        <f t="shared" si="23"/>
        <v>0</v>
      </c>
      <c r="H130" s="3">
        <f t="shared" si="23"/>
        <v>0</v>
      </c>
      <c r="I130" s="3">
        <f t="shared" si="23"/>
        <v>0</v>
      </c>
      <c r="J130" s="3">
        <f t="shared" si="23"/>
        <v>0</v>
      </c>
      <c r="K130" s="3">
        <f t="shared" si="23"/>
        <v>0</v>
      </c>
      <c r="L130" s="3"/>
    </row>
    <row r="131" spans="4:19" ht="12" customHeight="1">
      <c r="D131" s="410" t="s">
        <v>178</v>
      </c>
      <c r="E131" s="4"/>
      <c r="F131" s="3">
        <f t="shared" si="23"/>
        <v>0</v>
      </c>
      <c r="G131" s="3">
        <f t="shared" si="23"/>
        <v>0</v>
      </c>
      <c r="H131" s="3">
        <f t="shared" si="23"/>
        <v>0</v>
      </c>
      <c r="I131" s="3">
        <f t="shared" si="23"/>
        <v>0</v>
      </c>
      <c r="J131" s="3">
        <f t="shared" si="23"/>
        <v>0</v>
      </c>
      <c r="K131" s="3">
        <f t="shared" si="23"/>
        <v>0</v>
      </c>
      <c r="L131" s="229">
        <f>SUM(F131:K131)</f>
        <v>0</v>
      </c>
      <c r="M131" t="s">
        <v>1410</v>
      </c>
    </row>
    <row r="132" spans="4:19" ht="12" customHeight="1">
      <c r="D132" s="410" t="s">
        <v>1451</v>
      </c>
      <c r="E132" s="4"/>
      <c r="F132" s="3">
        <f t="shared" ref="F132:K132" si="24">SUM(F128:F131)</f>
        <v>8</v>
      </c>
      <c r="G132" s="3">
        <f t="shared" si="24"/>
        <v>4</v>
      </c>
      <c r="H132" s="3">
        <f t="shared" si="24"/>
        <v>5</v>
      </c>
      <c r="I132" s="3">
        <f t="shared" si="24"/>
        <v>1</v>
      </c>
      <c r="J132" s="3">
        <f t="shared" si="24"/>
        <v>1</v>
      </c>
      <c r="K132" s="3">
        <f t="shared" si="24"/>
        <v>0</v>
      </c>
      <c r="L132" s="132">
        <f>SUM(F132:K132)</f>
        <v>19</v>
      </c>
    </row>
    <row r="134" spans="4:19" s="278" customFormat="1" ht="12" customHeight="1">
      <c r="D134" s="24"/>
      <c r="E134" s="279"/>
      <c r="M134"/>
      <c r="N134"/>
      <c r="S134" s="279"/>
    </row>
    <row r="135" spans="4:19" ht="12" customHeight="1">
      <c r="F135" t="s">
        <v>1583</v>
      </c>
      <c r="G135">
        <v>4</v>
      </c>
      <c r="H135">
        <v>5</v>
      </c>
      <c r="I135">
        <v>6</v>
      </c>
      <c r="J135">
        <v>7</v>
      </c>
      <c r="K135">
        <v>8</v>
      </c>
      <c r="L135">
        <v>9</v>
      </c>
      <c r="M135">
        <v>10</v>
      </c>
      <c r="N135">
        <v>11</v>
      </c>
    </row>
    <row r="136" spans="4:19" ht="12" customHeight="1">
      <c r="D136" s="411" t="s">
        <v>1385</v>
      </c>
      <c r="F136">
        <f>COUNTIFS($C$4:$C$95,$D$136,$F$4:$F$95,"",$G$4:$G$95,"&lt;=3")</f>
        <v>1</v>
      </c>
      <c r="G136">
        <f>COUNTIFS($C$4:$C$95,$D$136,$F$4:$F$95,"",$G$4:$G$95,"4")</f>
        <v>0</v>
      </c>
      <c r="H136">
        <f>COUNTIFS($C$4:$C$95,$D136,$F$4:$F$95,"",$G$4:$G$95,"5")</f>
        <v>0</v>
      </c>
      <c r="I136">
        <f>COUNTIFS($C$4:$C$95,$D136,$F$4:$F$95,"",$G$4:$G$95,"6")</f>
        <v>5</v>
      </c>
      <c r="J136">
        <f>COUNTIFS($C$4:$C$95,$D136,$F$4:$F$95,"",$G$4:$G$95,"7")</f>
        <v>0</v>
      </c>
      <c r="K136">
        <f>COUNTIFS($C$4:$C$95,$D136,$F$4:$F$95,"",$G$4:$G$95,"8")</f>
        <v>0</v>
      </c>
      <c r="L136">
        <f>COUNTIFS($C$4:$C$95,$D136,$F$4:$F$95,"",$G$4:$G$95,"9")</f>
        <v>0</v>
      </c>
      <c r="M136">
        <f>COUNTIFS($C$4:$C$95,$D136,$F$4:$F$95,"",$G$4:$G$95,"10")</f>
        <v>0</v>
      </c>
      <c r="N136">
        <f>COUNTIFS($C$4:$C$95,$D136,$F$4:$F$95,"",$G$4:$G$95,"11")</f>
        <v>0</v>
      </c>
      <c r="O136">
        <f>SUBTOTAL(9,F136:N136)</f>
        <v>6</v>
      </c>
    </row>
    <row r="137" spans="4:19" ht="12" customHeight="1">
      <c r="D137" s="411" t="s">
        <v>1386</v>
      </c>
      <c r="F137">
        <f>COUNTIFS($C$4:$C$95,$D137,$G$4:$G$95,"&lt;=3")</f>
        <v>1</v>
      </c>
      <c r="G137">
        <f>COUNTIFS($C$4:$C$95,$D137,$F$4:$F$95,"",$G$4:$G$95,"4")</f>
        <v>0</v>
      </c>
      <c r="H137">
        <f>COUNTIFS($C$4:$C$95,$D137,$F$4:$F$95,"",$G$4:$G$95,"5")</f>
        <v>0</v>
      </c>
      <c r="I137">
        <f>COUNTIFS($C$4:$C$95,$D137,$F$4:$F$95,"",$G$4:$G$95,"6")</f>
        <v>0</v>
      </c>
      <c r="J137">
        <f>COUNTIFS($C$4:$C$95,$D137,$F$4:$F$95,"",$G$4:$G$95,"7")</f>
        <v>0</v>
      </c>
      <c r="K137">
        <f>COUNTIFS($C$4:$C$95,$D137,$F$4:$F$95,"",$G$4:$G$95,"8")</f>
        <v>0</v>
      </c>
      <c r="L137">
        <f>COUNTIFS($C$4:$C$95,$D137,$F$4:$F$95,"",$G$4:$G$95,"9")</f>
        <v>0</v>
      </c>
      <c r="M137">
        <f>COUNTIFS($C$4:$C$95,$D137,$F$4:$F$95,"",$G$4:$G$95,"10")</f>
        <v>0</v>
      </c>
      <c r="N137">
        <f>COUNTIFS($C$4:$C$95,$D137,$F$4:$F$95,"",$G$4:$G$95,"11")</f>
        <v>0</v>
      </c>
      <c r="O137">
        <f>SUBTOTAL(9,F137:N137)</f>
        <v>1</v>
      </c>
    </row>
    <row r="138" spans="4:19" ht="12" customHeight="1">
      <c r="D138" s="411" t="s">
        <v>1387</v>
      </c>
      <c r="F138">
        <f>COUNTIFS($C$4:$C$95,$D138,$G$4:$G$95,"&lt;=3")</f>
        <v>1</v>
      </c>
      <c r="G138">
        <f>COUNTIFS($C$4:$C$95,$D138,$F$4:$F$95,"",$G$4:$G$95,"4")</f>
        <v>1</v>
      </c>
      <c r="H138">
        <f>COUNTIFS($C$4:$C$95,$D138,$F$4:$F$95,"",$G$4:$G$95,"5")</f>
        <v>3</v>
      </c>
      <c r="I138">
        <f>COUNTIFS($C$4:$C$95,$D138,$F$4:$F$95,"",$G$4:$G$95,"6")</f>
        <v>2</v>
      </c>
      <c r="J138">
        <f>COUNTIFS($C$4:$C$95,$D138,$F$4:$F$95,"",$G$4:$G$95,"7")</f>
        <v>1</v>
      </c>
      <c r="K138">
        <f>COUNTIFS($C$4:$C$95,$D138,$F$4:$F$95,"",$G$4:$G$95,"8")</f>
        <v>2</v>
      </c>
      <c r="L138">
        <f>COUNTIFS($C$4:$C$95,$D138,$F$4:$F$95,"",$G$4:$G$95,"9")</f>
        <v>0</v>
      </c>
      <c r="M138">
        <f>COUNTIFS($C$4:$C$95,$D138,$F$4:$F$95,"",$G$4:$G$95,"10")</f>
        <v>0</v>
      </c>
      <c r="N138">
        <f>COUNTIFS($C$4:$C$95,$D138,$F$4:$F$95,"",$G$4:$G$95,"11")</f>
        <v>0</v>
      </c>
      <c r="O138">
        <f>SUBTOTAL(9,F138:N138)</f>
        <v>10</v>
      </c>
    </row>
    <row r="139" spans="4:19" ht="12" customHeight="1">
      <c r="D139" s="411" t="s">
        <v>1388</v>
      </c>
      <c r="F139">
        <f>COUNTIFS($C$4:$C$95,$D139,$G$4:$G$95,"&lt;=3")</f>
        <v>0</v>
      </c>
      <c r="G139">
        <f>COUNTIFS($C$4:$C$95,$D139,$F$4:$F$95,"",$G$4:$G$95,"4")</f>
        <v>1</v>
      </c>
      <c r="H139">
        <f>COUNTIFS($C$4:$C$95,$D139,$F$4:$F$95,"",$G$4:$G$95,"5")</f>
        <v>0</v>
      </c>
      <c r="I139">
        <f>COUNTIFS($C$4:$C$95,$D139,$F$4:$F$95,"",$G$4:$G$95,"6")</f>
        <v>2</v>
      </c>
      <c r="J139">
        <f>COUNTIFS($C$4:$C$95,$D139,$F$4:$F$95,"",$G$4:$G$95,"7")</f>
        <v>2</v>
      </c>
      <c r="K139">
        <f>COUNTIFS($C$4:$C$95,$D139,$F$4:$F$95,"",$G$4:$G$95,"8")</f>
        <v>4</v>
      </c>
      <c r="L139">
        <f>COUNTIFS($C$4:$C$95,$D139,$F$4:$F$95,"",$G$4:$G$95,"9")</f>
        <v>1</v>
      </c>
      <c r="M139">
        <f>COUNTIFS($C$4:$C$95,$D139,$F$4:$F$95,"",$G$4:$G$95,"10")</f>
        <v>4</v>
      </c>
      <c r="N139">
        <f>COUNTIFS($C$4:$C$95,$D139,$F$4:$F$95,"",$G$4:$G$95,"11")</f>
        <v>0</v>
      </c>
      <c r="O139">
        <f>SUBTOTAL(9,F139:N139)</f>
        <v>14</v>
      </c>
    </row>
    <row r="140" spans="4:19" ht="12" customHeight="1">
      <c r="D140" s="411" t="s">
        <v>1389</v>
      </c>
      <c r="F140">
        <f>COUNTIFS($C$4:$C$95,$D140,$G$4:$G$95,"&lt;=3")</f>
        <v>2</v>
      </c>
      <c r="G140">
        <f>COUNTIFS($C$4:$C$95,$D140,$F$4:$F$95,"",$G$4:$G$95,"4")</f>
        <v>3</v>
      </c>
      <c r="H140">
        <f>COUNTIFS($C$4:$C$95,$D140,$F$4:$F$95,"",$G$4:$G$95,"5")</f>
        <v>3</v>
      </c>
      <c r="I140">
        <f>COUNTIFS($C$4:$C$95,$D140,$F$4:$F$95,"",$G$4:$G$95,"6")</f>
        <v>1</v>
      </c>
      <c r="J140">
        <f>COUNTIFS($C$4:$C$95,$D140,$F$4:$F$95,"",$G$4:$G$95,"7")</f>
        <v>0</v>
      </c>
      <c r="K140">
        <f>COUNTIFS($C$4:$C$95,$D140,$F$4:$F$95,"",$G$4:$G$95,"8")</f>
        <v>1</v>
      </c>
      <c r="L140">
        <f>COUNTIFS($C$4:$C$95,$D140,$F$4:$F$95,"",$G$4:$G$95,"9")</f>
        <v>1</v>
      </c>
      <c r="M140">
        <f>COUNTIFS($C$4:$C$95,$D140,$F$4:$F$95,"",$G$4:$G$95,"10")</f>
        <v>0</v>
      </c>
      <c r="N140">
        <f>COUNTIFS($C$4:$C$95,$D140,$F$4:$F$95,"",$G$4:$G$95,"11")</f>
        <v>0</v>
      </c>
      <c r="O140">
        <f>SUBTOTAL(9,F140:N140)</f>
        <v>11</v>
      </c>
    </row>
    <row r="146" spans="4:9" ht="12" customHeight="1">
      <c r="E146" t="s">
        <v>1584</v>
      </c>
      <c r="G146" s="24" t="s">
        <v>220</v>
      </c>
      <c r="H146" s="24" t="s">
        <v>221</v>
      </c>
    </row>
    <row r="147" spans="4:9" ht="12" customHeight="1">
      <c r="D147" s="35" t="s">
        <v>1585</v>
      </c>
      <c r="E147" s="508">
        <f>AVERAGE(TeamA!AH7,TeamB!AH7,TeamC!AH7)</f>
        <v>0.75755642585835392</v>
      </c>
      <c r="G147">
        <f>SUM(TeamA!FO8+TeamB!FO8+TeamC!FO8)</f>
        <v>5387.2</v>
      </c>
      <c r="H147">
        <f>SUM(TeamA!FP8+TeamB!FP8+TeamC!FP8)</f>
        <v>6887.55</v>
      </c>
    </row>
    <row r="148" spans="4:9" ht="12" customHeight="1">
      <c r="D148" s="24" t="s">
        <v>1586</v>
      </c>
      <c r="E148" s="299">
        <f>SUM(TeamA!FM8+TeamB!FM8+TeamC!FM8)</f>
        <v>243.42900000000003</v>
      </c>
    </row>
    <row r="149" spans="4:9" ht="12" customHeight="1">
      <c r="D149" s="24" t="s">
        <v>1587</v>
      </c>
      <c r="E149" s="52">
        <f>SUM(TeamA!FN8+TeamB!FN8+TeamC!FN8)</f>
        <v>711</v>
      </c>
    </row>
    <row r="150" spans="4:9" ht="12" customHeight="1">
      <c r="D150" s="35" t="s">
        <v>680</v>
      </c>
      <c r="E150" s="507">
        <f>E149/E148</f>
        <v>2.9207695056874896</v>
      </c>
    </row>
    <row r="151" spans="4:9" ht="12" customHeight="1">
      <c r="E151" s="52" t="s">
        <v>1588</v>
      </c>
      <c r="G151" s="24" t="s">
        <v>220</v>
      </c>
      <c r="H151" s="24" t="s">
        <v>221</v>
      </c>
    </row>
    <row r="152" spans="4:9" ht="12" customHeight="1">
      <c r="D152" s="35" t="s">
        <v>1585</v>
      </c>
      <c r="E152" s="508">
        <f>AVERAGE(TeamD!AH7,TeamE!AH7)</f>
        <v>1.0354050725883188</v>
      </c>
      <c r="G152">
        <f>SUM(TeamD!FO8+TeamE!FO8)</f>
        <v>4623.5999999999995</v>
      </c>
      <c r="H152">
        <f>SUM(TeamD!FP8+TeamE!FP8)</f>
        <v>4510.49</v>
      </c>
    </row>
    <row r="153" spans="4:9" ht="12" customHeight="1">
      <c r="D153" s="24" t="s">
        <v>1586</v>
      </c>
      <c r="E153" s="299">
        <f>SUM(TeamE!FM8+TeamD!FM8)</f>
        <v>120.11449999999998</v>
      </c>
    </row>
    <row r="154" spans="4:9" ht="12" customHeight="1">
      <c r="D154" s="24" t="s">
        <v>1587</v>
      </c>
      <c r="E154" s="52">
        <f>SUM(TeamD!FN8+TeamE!FN8)</f>
        <v>660</v>
      </c>
    </row>
    <row r="155" spans="4:9" ht="12" customHeight="1">
      <c r="D155" s="35" t="s">
        <v>680</v>
      </c>
      <c r="E155" s="507">
        <f>E154/E153</f>
        <v>5.4947570859471595</v>
      </c>
    </row>
    <row r="157" spans="4:9" ht="12" customHeight="1">
      <c r="E157" s="485" t="s">
        <v>1589</v>
      </c>
      <c r="F157" s="485" t="s">
        <v>1590</v>
      </c>
      <c r="G157" s="485" t="s">
        <v>1591</v>
      </c>
      <c r="H157" s="485" t="s">
        <v>1592</v>
      </c>
      <c r="I157" s="485" t="s">
        <v>1593</v>
      </c>
    </row>
    <row r="158" spans="4:9" ht="12" customHeight="1">
      <c r="D158" s="24" t="s">
        <v>1585</v>
      </c>
      <c r="E158" s="296">
        <f>TeamA!AH7</f>
        <v>0.80064657063425471</v>
      </c>
      <c r="F158" s="296">
        <f>TeamB!AH7</f>
        <v>0.78259929454759058</v>
      </c>
      <c r="G158" s="296">
        <f>TeamC!AH7</f>
        <v>0.68942341239321625</v>
      </c>
      <c r="H158" s="296">
        <f>TeamD!AH7</f>
        <v>0.79479972751331363</v>
      </c>
      <c r="I158" s="296">
        <f>TeamE!AH7</f>
        <v>1.2760104176633238</v>
      </c>
    </row>
    <row r="159" spans="4:9" ht="12" customHeight="1">
      <c r="D159" s="24" t="s">
        <v>679</v>
      </c>
      <c r="E159" s="299">
        <f>TeamA!$AI$7</f>
        <v>5.5634898656282958</v>
      </c>
      <c r="F159" s="299">
        <f>TeamB!$AI$7</f>
        <v>7.7805836755772537</v>
      </c>
      <c r="G159" s="299">
        <f>TeamC!$AI$7</f>
        <v>10.696949029029561</v>
      </c>
      <c r="H159" s="299">
        <f>TeamD!$AI$7</f>
        <v>24.778372092368731</v>
      </c>
      <c r="I159" s="299">
        <f>TeamE!$AI$7</f>
        <v>18.262985339509637</v>
      </c>
    </row>
    <row r="160" spans="4:9" ht="12" customHeight="1">
      <c r="D160" s="24" t="s">
        <v>1586</v>
      </c>
      <c r="E160" s="299">
        <f>TeamA!$FM$8</f>
        <v>83.185999999999993</v>
      </c>
      <c r="F160" s="299">
        <f>TeamB!$FM$8</f>
        <v>102.78600000000003</v>
      </c>
      <c r="G160" s="299">
        <f>TeamC!$FM$8</f>
        <v>57.457000000000008</v>
      </c>
      <c r="H160" s="299">
        <f>TeamD!$FM$8</f>
        <v>69.516499999999979</v>
      </c>
      <c r="I160" s="299">
        <f>TeamE!$FM$8</f>
        <v>50.597999999999999</v>
      </c>
    </row>
    <row r="161" spans="4:9" ht="12" customHeight="1">
      <c r="D161" s="24" t="s">
        <v>1587</v>
      </c>
      <c r="E161" s="52">
        <f>TeamA!$FN$8</f>
        <v>226</v>
      </c>
      <c r="F161" s="52">
        <f>TeamB!$FN$8</f>
        <v>239</v>
      </c>
      <c r="G161" s="52">
        <f>TeamC!$FN$8</f>
        <v>246</v>
      </c>
      <c r="H161" s="52">
        <f>TeamD!$FN$8</f>
        <v>412</v>
      </c>
      <c r="I161" s="52">
        <f>TeamE!$FN$8</f>
        <v>248</v>
      </c>
    </row>
    <row r="162" spans="4:9" ht="12" customHeight="1">
      <c r="D162" s="24" t="s">
        <v>680</v>
      </c>
      <c r="E162" s="484">
        <f>E161/E160</f>
        <v>2.7168033082489846</v>
      </c>
      <c r="F162" s="484">
        <f>F161/F160</f>
        <v>2.3252193878543763</v>
      </c>
      <c r="G162" s="484">
        <f>G161/G160</f>
        <v>4.2814626590319715</v>
      </c>
      <c r="H162" s="484">
        <f>H161/H160</f>
        <v>5.9266505074334885</v>
      </c>
      <c r="I162" s="484">
        <f t="shared" ref="I162" si="25">I161/I160</f>
        <v>4.9013795011660539</v>
      </c>
    </row>
  </sheetData>
  <autoFilter ref="A3:BW100" xr:uid="{7CFB2EBA-C860-4FB6-AEC0-BCAA1E2CC3EA}">
    <filterColumn colId="4">
      <customFilters>
        <customFilter operator="notEqual" val=" "/>
      </customFilters>
    </filterColumn>
    <filterColumn colId="5">
      <filters>
        <dateGroupItem year="2024" month="1" dateTimeGrouping="month"/>
      </filters>
    </filterColumn>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2" showButton="0"/>
    <filterColumn colId="63" showButton="0"/>
    <filterColumn colId="64" showButton="0"/>
    <filterColumn colId="65" showButton="0"/>
    <filterColumn colId="66" showButton="0"/>
    <filterColumn colId="69" showButton="0"/>
    <filterColumn colId="70" showButton="0"/>
    <filterColumn colId="71" showButton="0"/>
    <filterColumn colId="72" showButton="0"/>
  </autoFilter>
  <mergeCells count="25">
    <mergeCell ref="AL17:AM17"/>
    <mergeCell ref="X2:X3"/>
    <mergeCell ref="X11:X12"/>
    <mergeCell ref="V2:V3"/>
    <mergeCell ref="Y17:AC17"/>
    <mergeCell ref="AD17:AH17"/>
    <mergeCell ref="AD2:AH2"/>
    <mergeCell ref="AI2:AJ2"/>
    <mergeCell ref="AI17:AK17"/>
    <mergeCell ref="AD11:AH11"/>
    <mergeCell ref="AI11:AK11"/>
    <mergeCell ref="BK3:BP3"/>
    <mergeCell ref="U2:U3"/>
    <mergeCell ref="Y2:AC2"/>
    <mergeCell ref="U11:U12"/>
    <mergeCell ref="V11:V12"/>
    <mergeCell ref="Y11:AC11"/>
    <mergeCell ref="W2:W3"/>
    <mergeCell ref="W11:W12"/>
    <mergeCell ref="Y8:AC8"/>
    <mergeCell ref="AL11:AM11"/>
    <mergeCell ref="AX2:BY2"/>
    <mergeCell ref="BX3:BY3"/>
    <mergeCell ref="AY3:BI3"/>
    <mergeCell ref="BR3:BV3"/>
  </mergeCells>
  <phoneticPr fontId="10"/>
  <conditionalFormatting sqref="H4:H100">
    <cfRule type="cellIs" dxfId="806" priority="5" operator="equal">
      <formula>1</formula>
    </cfRule>
    <cfRule type="cellIs" dxfId="805" priority="6" operator="between">
      <formula>0.8</formula>
      <formula>0.99</formula>
    </cfRule>
  </conditionalFormatting>
  <conditionalFormatting sqref="L4 M61:M102 L103 M110:M1048576">
    <cfRule type="cellIs" dxfId="804" priority="2" operator="equal">
      <formula>"N/A"</formula>
    </cfRule>
  </conditionalFormatting>
  <conditionalFormatting sqref="M1:M41 M43:M59">
    <cfRule type="cellIs" dxfId="803" priority="3" operator="equal">
      <formula>"N/A"</formula>
    </cfRule>
  </conditionalFormatting>
  <conditionalFormatting sqref="N61">
    <cfRule type="cellIs" dxfId="802" priority="1" operator="equal">
      <formula>"N/A"</formula>
    </cfRule>
  </conditionalFormatting>
  <conditionalFormatting sqref="Q4:Q100">
    <cfRule type="cellIs" dxfId="801" priority="4" operator="equal">
      <formula>1</formula>
    </cfRule>
  </conditionalFormatting>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19F81-8D32-4D84-8FB0-4A3F8CBE5826}">
  <dimension ref="A1:E29"/>
  <sheetViews>
    <sheetView workbookViewId="0">
      <selection activeCell="B12" sqref="B12"/>
    </sheetView>
  </sheetViews>
  <sheetFormatPr defaultRowHeight="11.1"/>
  <cols>
    <col min="2" max="2" width="21.7109375" customWidth="1"/>
    <col min="3" max="4" width="11" customWidth="1"/>
    <col min="5" max="5" width="123.85546875" customWidth="1"/>
  </cols>
  <sheetData>
    <row r="1" spans="1:5" ht="21.95">
      <c r="A1" s="166" t="s">
        <v>1381</v>
      </c>
      <c r="B1" s="166" t="s">
        <v>1421</v>
      </c>
      <c r="C1" s="173" t="s">
        <v>1594</v>
      </c>
      <c r="D1" s="172" t="s">
        <v>1379</v>
      </c>
      <c r="E1" s="172" t="s">
        <v>1595</v>
      </c>
    </row>
    <row r="2" spans="1:5">
      <c r="A2" s="52" t="s">
        <v>1385</v>
      </c>
      <c r="B2" s="3" t="s">
        <v>1596</v>
      </c>
      <c r="C2" s="4" t="s">
        <v>174</v>
      </c>
      <c r="D2" s="4" t="s">
        <v>1402</v>
      </c>
      <c r="E2" s="3" t="s">
        <v>1597</v>
      </c>
    </row>
    <row r="3" spans="1:5">
      <c r="A3" s="4" t="s">
        <v>1386</v>
      </c>
      <c r="B3" s="3" t="s">
        <v>1490</v>
      </c>
      <c r="C3" s="4" t="s">
        <v>174</v>
      </c>
      <c r="D3" s="4" t="s">
        <v>1598</v>
      </c>
      <c r="E3" s="3" t="s">
        <v>1599</v>
      </c>
    </row>
    <row r="4" spans="1:5">
      <c r="A4" s="4" t="s">
        <v>1386</v>
      </c>
      <c r="B4" s="3" t="s">
        <v>1600</v>
      </c>
      <c r="C4" s="4" t="s">
        <v>174</v>
      </c>
      <c r="D4" s="4" t="s">
        <v>1402</v>
      </c>
      <c r="E4" s="3" t="s">
        <v>1601</v>
      </c>
    </row>
    <row r="5" spans="1:5">
      <c r="A5" s="4" t="s">
        <v>1387</v>
      </c>
      <c r="B5" s="3" t="s">
        <v>1602</v>
      </c>
      <c r="C5" s="4" t="s">
        <v>178</v>
      </c>
      <c r="D5" s="4" t="s">
        <v>1402</v>
      </c>
      <c r="E5" s="3" t="s">
        <v>1603</v>
      </c>
    </row>
    <row r="6" spans="1:5">
      <c r="A6" s="4" t="s">
        <v>1387</v>
      </c>
      <c r="B6" s="3" t="s">
        <v>1496</v>
      </c>
      <c r="C6" s="4" t="s">
        <v>174</v>
      </c>
      <c r="D6" s="4" t="s">
        <v>1598</v>
      </c>
      <c r="E6" s="3" t="s">
        <v>1604</v>
      </c>
    </row>
    <row r="7" spans="1:5">
      <c r="A7" s="4" t="s">
        <v>1387</v>
      </c>
      <c r="B7" s="3" t="s">
        <v>1605</v>
      </c>
      <c r="C7" s="4" t="s">
        <v>174</v>
      </c>
      <c r="D7" s="4" t="s">
        <v>1402</v>
      </c>
      <c r="E7" s="3" t="s">
        <v>1606</v>
      </c>
    </row>
    <row r="8" spans="1:5">
      <c r="A8" s="4" t="s">
        <v>1387</v>
      </c>
      <c r="B8" s="3" t="s">
        <v>1607</v>
      </c>
      <c r="C8" s="4" t="s">
        <v>174</v>
      </c>
      <c r="D8" s="4" t="s">
        <v>1598</v>
      </c>
      <c r="E8" s="3" t="s">
        <v>1608</v>
      </c>
    </row>
    <row r="9" spans="1:5">
      <c r="A9" s="4" t="s">
        <v>1387</v>
      </c>
      <c r="B9" s="3" t="s">
        <v>1514</v>
      </c>
      <c r="C9" s="4" t="s">
        <v>178</v>
      </c>
      <c r="D9" s="4" t="s">
        <v>1402</v>
      </c>
      <c r="E9" s="3" t="s">
        <v>1609</v>
      </c>
    </row>
    <row r="10" spans="1:5">
      <c r="A10" s="4" t="s">
        <v>1388</v>
      </c>
      <c r="B10" s="3" t="s">
        <v>1525</v>
      </c>
      <c r="C10" s="4" t="s">
        <v>174</v>
      </c>
      <c r="D10" s="4" t="s">
        <v>1598</v>
      </c>
      <c r="E10" s="3" t="s">
        <v>1610</v>
      </c>
    </row>
    <row r="11" spans="1:5">
      <c r="A11" s="4" t="s">
        <v>1388</v>
      </c>
      <c r="B11" s="3" t="s">
        <v>1528</v>
      </c>
      <c r="C11" s="4" t="s">
        <v>174</v>
      </c>
      <c r="D11" s="375" t="s">
        <v>1402</v>
      </c>
      <c r="E11" t="s">
        <v>1611</v>
      </c>
    </row>
    <row r="12" spans="1:5">
      <c r="A12" s="4" t="s">
        <v>1388</v>
      </c>
      <c r="B12" s="3" t="s">
        <v>1532</v>
      </c>
      <c r="C12" s="338" t="s">
        <v>174</v>
      </c>
      <c r="D12" s="28" t="s">
        <v>1598</v>
      </c>
      <c r="E12" s="3" t="s">
        <v>1612</v>
      </c>
    </row>
    <row r="13" spans="1:5">
      <c r="A13" s="4" t="s">
        <v>1388</v>
      </c>
      <c r="B13" s="3" t="s">
        <v>1534</v>
      </c>
      <c r="C13" s="338" t="s">
        <v>174</v>
      </c>
      <c r="D13" s="28" t="s">
        <v>1598</v>
      </c>
      <c r="E13" s="3" t="s">
        <v>1613</v>
      </c>
    </row>
    <row r="14" spans="1:5">
      <c r="A14" s="4" t="s">
        <v>1388</v>
      </c>
      <c r="B14" s="3" t="s">
        <v>1546</v>
      </c>
      <c r="C14" s="338" t="s">
        <v>178</v>
      </c>
      <c r="D14" s="28" t="s">
        <v>1402</v>
      </c>
      <c r="E14" s="3" t="s">
        <v>1609</v>
      </c>
    </row>
    <row r="15" spans="1:5">
      <c r="A15" s="4" t="s">
        <v>1388</v>
      </c>
      <c r="B15" s="3" t="s">
        <v>1548</v>
      </c>
      <c r="C15" s="4" t="s">
        <v>174</v>
      </c>
      <c r="D15" s="387" t="s">
        <v>1402</v>
      </c>
      <c r="E15" s="3" t="s">
        <v>1611</v>
      </c>
    </row>
    <row r="16" spans="1:5">
      <c r="A16" s="4" t="s">
        <v>1389</v>
      </c>
      <c r="B16" s="3" t="s">
        <v>1555</v>
      </c>
      <c r="C16" s="4" t="s">
        <v>174</v>
      </c>
      <c r="D16" s="4" t="s">
        <v>1598</v>
      </c>
      <c r="E16" s="3"/>
    </row>
    <row r="17" spans="1:5">
      <c r="A17" s="4" t="s">
        <v>1389</v>
      </c>
      <c r="B17" s="3" t="s">
        <v>1560</v>
      </c>
      <c r="C17" s="4" t="s">
        <v>174</v>
      </c>
      <c r="D17" s="4" t="s">
        <v>1598</v>
      </c>
      <c r="E17" s="3" t="s">
        <v>1614</v>
      </c>
    </row>
    <row r="18" spans="1:5">
      <c r="A18" s="4" t="s">
        <v>1389</v>
      </c>
      <c r="B18" s="3" t="s">
        <v>1561</v>
      </c>
      <c r="C18" s="4" t="s">
        <v>174</v>
      </c>
      <c r="D18" s="4" t="s">
        <v>1598</v>
      </c>
      <c r="E18" s="3"/>
    </row>
    <row r="19" spans="1:5">
      <c r="A19" s="4" t="s">
        <v>1389</v>
      </c>
      <c r="B19" s="3" t="s">
        <v>1564</v>
      </c>
      <c r="C19" s="4" t="s">
        <v>174</v>
      </c>
      <c r="D19" s="4" t="s">
        <v>1598</v>
      </c>
      <c r="E19" s="3"/>
    </row>
    <row r="20" spans="1:5">
      <c r="A20" s="4" t="s">
        <v>1389</v>
      </c>
      <c r="B20" s="3" t="s">
        <v>1568</v>
      </c>
      <c r="C20" s="4" t="s">
        <v>174</v>
      </c>
      <c r="D20" s="4" t="s">
        <v>1402</v>
      </c>
      <c r="E20" s="3" t="s">
        <v>1615</v>
      </c>
    </row>
    <row r="21" spans="1:5">
      <c r="A21" s="4" t="s">
        <v>1389</v>
      </c>
      <c r="B21" s="3" t="s">
        <v>1571</v>
      </c>
      <c r="C21" s="4" t="s">
        <v>174</v>
      </c>
      <c r="D21" t="s">
        <v>1598</v>
      </c>
      <c r="E21" s="3"/>
    </row>
    <row r="22" spans="1:5">
      <c r="B22" t="s">
        <v>1402</v>
      </c>
    </row>
    <row r="23" spans="1:5">
      <c r="A23" s="3" t="s">
        <v>1381</v>
      </c>
      <c r="B23" s="3" t="s">
        <v>1598</v>
      </c>
    </row>
    <row r="24" spans="1:5">
      <c r="A24" s="3" t="s">
        <v>1385</v>
      </c>
      <c r="B24" s="3">
        <f>COUNTIFS($A$2:$A$21,$A24,$D$2:$D$21,B$23)</f>
        <v>0</v>
      </c>
    </row>
    <row r="25" spans="1:5">
      <c r="A25" s="3" t="s">
        <v>1386</v>
      </c>
      <c r="B25" s="3">
        <f>COUNTIFS($A$2:$A$21,A25,$D$2:$D$21,B$23)</f>
        <v>1</v>
      </c>
    </row>
    <row r="26" spans="1:5">
      <c r="A26" s="3" t="s">
        <v>1387</v>
      </c>
      <c r="B26" s="3">
        <f>COUNTIFS($A$2:$A$21,A26,$D$2:$D$21,B$23)</f>
        <v>2</v>
      </c>
    </row>
    <row r="27" spans="1:5">
      <c r="A27" s="3" t="s">
        <v>1388</v>
      </c>
      <c r="B27" s="3">
        <f>COUNTIFS($A$2:$A$21,A27,$D$2:$D$21,B$23)</f>
        <v>3</v>
      </c>
    </row>
    <row r="28" spans="1:5">
      <c r="A28" s="3" t="s">
        <v>1389</v>
      </c>
      <c r="B28" s="3">
        <f>COUNTIFS($A$2:$A$21,A28,$D$2:$D$21,B$23)</f>
        <v>5</v>
      </c>
    </row>
    <row r="29" spans="1:5">
      <c r="A29" s="109" t="s">
        <v>1451</v>
      </c>
      <c r="B29" s="267">
        <f>SUM(B24:B28)</f>
        <v>11</v>
      </c>
    </row>
  </sheetData>
  <autoFilter ref="A1:E29" xr:uid="{16619F81-8D32-4D84-8FB0-4A3F8CBE5826}"/>
  <phoneticPr fontId="10"/>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3E076-1C28-4121-BF61-7F60F2E9A3FD}">
  <dimension ref="A1:L44"/>
  <sheetViews>
    <sheetView showGridLines="0" zoomScale="85" zoomScaleNormal="85" workbookViewId="0">
      <selection activeCell="B1" sqref="B1:B2"/>
    </sheetView>
  </sheetViews>
  <sheetFormatPr defaultColWidth="8.7109375" defaultRowHeight="15.75" customHeight="1"/>
  <cols>
    <col min="1" max="1" width="13.28515625" style="426" customWidth="1"/>
    <col min="2" max="2" width="29.42578125" style="427" customWidth="1"/>
    <col min="3" max="3" width="7.28515625" style="428" customWidth="1"/>
    <col min="4" max="4" width="12.7109375" style="428" customWidth="1"/>
    <col min="5" max="5" width="14.85546875" style="429" bestFit="1" customWidth="1"/>
    <col min="6" max="6" width="28.7109375" style="426" customWidth="1"/>
    <col min="7" max="7" width="20.5703125" style="426" customWidth="1"/>
    <col min="8" max="8" width="32.5703125" style="426" customWidth="1"/>
    <col min="9" max="9" width="22.140625" style="426" customWidth="1"/>
    <col min="10" max="10" width="24.85546875" style="426" customWidth="1"/>
    <col min="11" max="11" width="22.42578125" style="426" customWidth="1"/>
    <col min="12" max="12" width="57.42578125" style="426" customWidth="1"/>
    <col min="13" max="16384" width="8.7109375" style="415"/>
  </cols>
  <sheetData>
    <row r="1" spans="1:12" ht="28.5" customHeight="1">
      <c r="A1" s="570" t="s">
        <v>1423</v>
      </c>
      <c r="B1" s="577" t="s">
        <v>1421</v>
      </c>
      <c r="C1" s="579" t="s">
        <v>1381</v>
      </c>
      <c r="D1" s="433" t="s">
        <v>1616</v>
      </c>
      <c r="E1" s="568" t="s">
        <v>1617</v>
      </c>
      <c r="F1" s="566" t="s">
        <v>1618</v>
      </c>
      <c r="G1" s="567"/>
      <c r="H1" s="568" t="s">
        <v>1619</v>
      </c>
      <c r="I1" s="568" t="s">
        <v>1620</v>
      </c>
      <c r="J1" s="568" t="s">
        <v>1621</v>
      </c>
      <c r="K1" s="568" t="s">
        <v>1622</v>
      </c>
      <c r="L1" s="568" t="s">
        <v>1431</v>
      </c>
    </row>
    <row r="2" spans="1:12" ht="28.5" customHeight="1">
      <c r="A2" s="571"/>
      <c r="B2" s="578"/>
      <c r="C2" s="580"/>
      <c r="D2" s="433" t="s">
        <v>1623</v>
      </c>
      <c r="E2" s="569"/>
      <c r="F2" s="420" t="s">
        <v>1624</v>
      </c>
      <c r="G2" s="420" t="s">
        <v>1625</v>
      </c>
      <c r="H2" s="569"/>
      <c r="I2" s="569"/>
      <c r="J2" s="569"/>
      <c r="K2" s="569"/>
      <c r="L2" s="572"/>
    </row>
    <row r="3" spans="1:12" ht="15" hidden="1">
      <c r="A3" s="584">
        <v>44927</v>
      </c>
      <c r="B3" s="556" t="s">
        <v>1626</v>
      </c>
      <c r="C3" s="573" t="s">
        <v>1385</v>
      </c>
      <c r="D3" s="556" t="s">
        <v>1627</v>
      </c>
      <c r="E3" s="430" t="s">
        <v>1628</v>
      </c>
      <c r="F3" s="412" t="s">
        <v>1482</v>
      </c>
      <c r="G3" s="412" t="s">
        <v>1482</v>
      </c>
      <c r="H3" s="412" t="s">
        <v>1482</v>
      </c>
      <c r="I3" s="421" t="s">
        <v>1629</v>
      </c>
      <c r="J3" s="412" t="s">
        <v>1482</v>
      </c>
      <c r="K3" s="412" t="s">
        <v>1482</v>
      </c>
      <c r="L3" s="556"/>
    </row>
    <row r="4" spans="1:12" ht="15" hidden="1" customHeight="1">
      <c r="A4" s="585"/>
      <c r="B4" s="557"/>
      <c r="C4" s="574"/>
      <c r="D4" s="557"/>
      <c r="E4" s="430" t="s">
        <v>1630</v>
      </c>
      <c r="F4" s="421" t="s">
        <v>230</v>
      </c>
      <c r="G4" s="421" t="s">
        <v>230</v>
      </c>
      <c r="H4" s="421" t="s">
        <v>230</v>
      </c>
      <c r="I4" s="421" t="s">
        <v>230</v>
      </c>
      <c r="J4" s="412" t="s">
        <v>1482</v>
      </c>
      <c r="K4" s="414" t="s">
        <v>1482</v>
      </c>
      <c r="L4" s="557"/>
    </row>
    <row r="5" spans="1:12" ht="67.5" hidden="1">
      <c r="A5" s="585"/>
      <c r="B5" s="556" t="s">
        <v>1631</v>
      </c>
      <c r="C5" s="575" t="s">
        <v>1385</v>
      </c>
      <c r="D5" s="556" t="s">
        <v>1632</v>
      </c>
      <c r="E5" s="430" t="s">
        <v>1628</v>
      </c>
      <c r="F5" s="412" t="s">
        <v>1482</v>
      </c>
      <c r="G5" s="412" t="s">
        <v>1482</v>
      </c>
      <c r="H5" s="422" t="s">
        <v>1633</v>
      </c>
      <c r="I5" s="421" t="s">
        <v>1634</v>
      </c>
      <c r="J5" s="413" t="s">
        <v>1635</v>
      </c>
      <c r="K5" s="414" t="s">
        <v>1482</v>
      </c>
      <c r="L5" s="556"/>
    </row>
    <row r="6" spans="1:12" ht="15.75" hidden="1" customHeight="1">
      <c r="A6" s="585"/>
      <c r="B6" s="557"/>
      <c r="C6" s="576"/>
      <c r="D6" s="557"/>
      <c r="E6" s="430" t="s">
        <v>1630</v>
      </c>
      <c r="F6" s="421" t="s">
        <v>230</v>
      </c>
      <c r="G6" s="421" t="s">
        <v>230</v>
      </c>
      <c r="H6" s="421" t="s">
        <v>230</v>
      </c>
      <c r="I6" s="421" t="s">
        <v>230</v>
      </c>
      <c r="J6" s="421" t="s">
        <v>230</v>
      </c>
      <c r="K6" s="414" t="s">
        <v>1482</v>
      </c>
      <c r="L6" s="557"/>
    </row>
    <row r="7" spans="1:12" ht="15" hidden="1">
      <c r="A7" s="585"/>
      <c r="B7" s="556" t="s">
        <v>1636</v>
      </c>
      <c r="C7" s="575" t="s">
        <v>1385</v>
      </c>
      <c r="D7" s="556" t="s">
        <v>1632</v>
      </c>
      <c r="E7" s="430" t="s">
        <v>1628</v>
      </c>
      <c r="F7" s="421" t="s">
        <v>230</v>
      </c>
      <c r="G7" s="412" t="s">
        <v>1482</v>
      </c>
      <c r="H7" s="421" t="s">
        <v>230</v>
      </c>
      <c r="I7" s="421" t="s">
        <v>1629</v>
      </c>
      <c r="J7" s="412" t="s">
        <v>1482</v>
      </c>
      <c r="K7" s="412" t="s">
        <v>1482</v>
      </c>
      <c r="L7" s="556"/>
    </row>
    <row r="8" spans="1:12" ht="15.75" hidden="1" customHeight="1">
      <c r="A8" s="585"/>
      <c r="B8" s="557"/>
      <c r="C8" s="576"/>
      <c r="D8" s="557"/>
      <c r="E8" s="430" t="s">
        <v>1630</v>
      </c>
      <c r="F8" s="421" t="s">
        <v>230</v>
      </c>
      <c r="G8" s="421" t="s">
        <v>230</v>
      </c>
      <c r="H8" s="421" t="s">
        <v>230</v>
      </c>
      <c r="I8" s="421" t="s">
        <v>230</v>
      </c>
      <c r="J8" s="421" t="s">
        <v>230</v>
      </c>
      <c r="K8" s="412" t="s">
        <v>1482</v>
      </c>
      <c r="L8" s="557"/>
    </row>
    <row r="9" spans="1:12" ht="67.5" hidden="1">
      <c r="A9" s="585"/>
      <c r="B9" s="559" t="s">
        <v>1637</v>
      </c>
      <c r="C9" s="575" t="s">
        <v>1387</v>
      </c>
      <c r="D9" s="556" t="s">
        <v>1638</v>
      </c>
      <c r="E9" s="430" t="s">
        <v>1628</v>
      </c>
      <c r="F9" s="421" t="s">
        <v>1639</v>
      </c>
      <c r="G9" s="412" t="s">
        <v>1482</v>
      </c>
      <c r="H9" s="421" t="s">
        <v>1640</v>
      </c>
      <c r="I9" s="413" t="s">
        <v>1641</v>
      </c>
      <c r="J9" s="413" t="s">
        <v>1642</v>
      </c>
      <c r="K9" s="414" t="s">
        <v>1482</v>
      </c>
      <c r="L9" s="556" t="s">
        <v>1643</v>
      </c>
    </row>
    <row r="10" spans="1:12" ht="15" hidden="1" customHeight="1">
      <c r="A10" s="585"/>
      <c r="B10" s="560"/>
      <c r="C10" s="576"/>
      <c r="D10" s="557"/>
      <c r="E10" s="430" t="s">
        <v>1630</v>
      </c>
      <c r="F10" s="421" t="s">
        <v>1482</v>
      </c>
      <c r="G10" s="421" t="s">
        <v>1482</v>
      </c>
      <c r="H10" s="421" t="s">
        <v>1482</v>
      </c>
      <c r="I10" s="421">
        <v>0</v>
      </c>
      <c r="J10" s="421">
        <v>0</v>
      </c>
      <c r="K10" s="414" t="s">
        <v>1644</v>
      </c>
      <c r="L10" s="557"/>
    </row>
    <row r="11" spans="1:12" ht="15" hidden="1">
      <c r="A11" s="585"/>
      <c r="B11" s="559" t="s">
        <v>1512</v>
      </c>
      <c r="C11" s="575" t="s">
        <v>1387</v>
      </c>
      <c r="D11" s="556" t="s">
        <v>1638</v>
      </c>
      <c r="E11" s="430" t="s">
        <v>1628</v>
      </c>
      <c r="F11" s="412" t="s">
        <v>1482</v>
      </c>
      <c r="G11" s="412" t="s">
        <v>1482</v>
      </c>
      <c r="H11" s="421" t="s">
        <v>230</v>
      </c>
      <c r="I11" s="421" t="s">
        <v>1629</v>
      </c>
      <c r="J11" s="412" t="s">
        <v>1482</v>
      </c>
      <c r="K11" s="414" t="s">
        <v>1482</v>
      </c>
      <c r="L11" s="559"/>
    </row>
    <row r="12" spans="1:12" ht="15" hidden="1" customHeight="1">
      <c r="A12" s="585"/>
      <c r="B12" s="560"/>
      <c r="C12" s="576"/>
      <c r="D12" s="557"/>
      <c r="E12" s="430" t="s">
        <v>1630</v>
      </c>
      <c r="F12" s="421" t="s">
        <v>230</v>
      </c>
      <c r="G12" s="421" t="s">
        <v>230</v>
      </c>
      <c r="H12" s="421" t="s">
        <v>230</v>
      </c>
      <c r="I12" s="421" t="s">
        <v>230</v>
      </c>
      <c r="J12" s="421" t="s">
        <v>230</v>
      </c>
      <c r="K12" s="414" t="s">
        <v>1482</v>
      </c>
      <c r="L12" s="560"/>
    </row>
    <row r="13" spans="1:12" ht="100.5" hidden="1" customHeight="1">
      <c r="A13" s="585"/>
      <c r="B13" s="556" t="s">
        <v>1544</v>
      </c>
      <c r="C13" s="575" t="s">
        <v>1388</v>
      </c>
      <c r="D13" s="556" t="s">
        <v>1645</v>
      </c>
      <c r="E13" s="430" t="s">
        <v>1628</v>
      </c>
      <c r="F13" s="421" t="s">
        <v>1646</v>
      </c>
      <c r="G13" s="412" t="s">
        <v>1482</v>
      </c>
      <c r="H13" s="416" t="s">
        <v>1647</v>
      </c>
      <c r="I13" s="421" t="s">
        <v>1648</v>
      </c>
      <c r="J13" s="416" t="s">
        <v>1649</v>
      </c>
      <c r="K13" s="412" t="s">
        <v>1482</v>
      </c>
      <c r="L13" s="556" t="s">
        <v>1650</v>
      </c>
    </row>
    <row r="14" spans="1:12" ht="15.75" hidden="1" customHeight="1">
      <c r="A14" s="585"/>
      <c r="B14" s="557"/>
      <c r="C14" s="587"/>
      <c r="D14" s="557"/>
      <c r="E14" s="430" t="s">
        <v>1630</v>
      </c>
      <c r="F14" s="421" t="s">
        <v>230</v>
      </c>
      <c r="G14" s="421" t="s">
        <v>230</v>
      </c>
      <c r="H14" s="421" t="s">
        <v>230</v>
      </c>
      <c r="I14" s="423" t="s">
        <v>1651</v>
      </c>
      <c r="J14" s="421" t="s">
        <v>230</v>
      </c>
      <c r="K14" s="412" t="s">
        <v>1482</v>
      </c>
      <c r="L14" s="561"/>
    </row>
    <row r="15" spans="1:12" ht="15.75" hidden="1" customHeight="1">
      <c r="A15" s="585"/>
      <c r="B15" s="564" t="s">
        <v>1652</v>
      </c>
      <c r="C15" s="586" t="s">
        <v>1390</v>
      </c>
      <c r="D15" s="556" t="s">
        <v>1645</v>
      </c>
      <c r="E15" s="431" t="s">
        <v>1628</v>
      </c>
      <c r="F15" s="424"/>
      <c r="G15" s="424"/>
      <c r="H15" s="424"/>
      <c r="I15" s="417"/>
      <c r="J15" s="418"/>
      <c r="K15" s="419"/>
      <c r="L15" s="558"/>
    </row>
    <row r="16" spans="1:12" ht="15.75" hidden="1" customHeight="1">
      <c r="A16" s="585"/>
      <c r="B16" s="565"/>
      <c r="C16" s="575"/>
      <c r="D16" s="557"/>
      <c r="E16" s="432" t="s">
        <v>1630</v>
      </c>
      <c r="F16" s="425"/>
      <c r="G16" s="425"/>
      <c r="H16" s="425"/>
      <c r="I16" s="417"/>
      <c r="J16" s="418"/>
      <c r="K16" s="419"/>
      <c r="L16" s="558"/>
    </row>
    <row r="17" spans="1:12" ht="15" hidden="1">
      <c r="A17" s="581">
        <v>46054</v>
      </c>
      <c r="B17" s="562" t="s">
        <v>1596</v>
      </c>
      <c r="C17" s="563" t="s">
        <v>1385</v>
      </c>
      <c r="D17" s="556" t="s">
        <v>1653</v>
      </c>
      <c r="E17" s="430" t="s">
        <v>1628</v>
      </c>
      <c r="F17" s="412" t="s">
        <v>1482</v>
      </c>
      <c r="G17" s="412" t="s">
        <v>1482</v>
      </c>
      <c r="H17" s="421" t="s">
        <v>230</v>
      </c>
      <c r="I17" s="421" t="s">
        <v>1629</v>
      </c>
      <c r="J17" s="412" t="s">
        <v>1482</v>
      </c>
      <c r="K17" s="414" t="s">
        <v>1482</v>
      </c>
      <c r="L17" s="558"/>
    </row>
    <row r="18" spans="1:12" ht="54" hidden="1" customHeight="1">
      <c r="A18" s="581"/>
      <c r="B18" s="562"/>
      <c r="C18" s="563"/>
      <c r="D18" s="557"/>
      <c r="E18" s="430" t="s">
        <v>1630</v>
      </c>
      <c r="F18" s="421" t="s">
        <v>1654</v>
      </c>
      <c r="G18" s="421" t="s">
        <v>1655</v>
      </c>
      <c r="H18" s="422" t="s">
        <v>1656</v>
      </c>
      <c r="I18" s="421"/>
      <c r="J18" s="421"/>
      <c r="K18" s="435" t="s">
        <v>1657</v>
      </c>
      <c r="L18" s="558"/>
    </row>
    <row r="19" spans="1:12" ht="15" hidden="1">
      <c r="A19" s="581"/>
      <c r="B19" s="562" t="s">
        <v>1600</v>
      </c>
      <c r="C19" s="563" t="s">
        <v>1386</v>
      </c>
      <c r="D19" s="556" t="s">
        <v>1658</v>
      </c>
      <c r="E19" s="430" t="s">
        <v>1628</v>
      </c>
      <c r="F19" s="412" t="s">
        <v>1482</v>
      </c>
      <c r="G19" s="412" t="s">
        <v>1482</v>
      </c>
      <c r="H19" s="421" t="s">
        <v>230</v>
      </c>
      <c r="I19" s="421" t="s">
        <v>1629</v>
      </c>
      <c r="J19" s="412" t="s">
        <v>1482</v>
      </c>
      <c r="K19" s="414" t="s">
        <v>1482</v>
      </c>
      <c r="L19" s="557" t="s">
        <v>1659</v>
      </c>
    </row>
    <row r="20" spans="1:12" ht="232.5" hidden="1" customHeight="1">
      <c r="A20" s="581"/>
      <c r="B20" s="562"/>
      <c r="C20" s="563"/>
      <c r="D20" s="557"/>
      <c r="E20" s="430" t="s">
        <v>1630</v>
      </c>
      <c r="F20" s="421" t="s">
        <v>1660</v>
      </c>
      <c r="G20" s="421" t="s">
        <v>1661</v>
      </c>
      <c r="H20" s="421" t="s">
        <v>1662</v>
      </c>
      <c r="I20" s="421" t="s">
        <v>1482</v>
      </c>
      <c r="J20" s="421" t="s">
        <v>1482</v>
      </c>
      <c r="K20" s="434" t="s">
        <v>1482</v>
      </c>
      <c r="L20" s="558"/>
    </row>
    <row r="21" spans="1:12" ht="67.5" hidden="1">
      <c r="A21" s="581"/>
      <c r="B21" s="562" t="s">
        <v>1602</v>
      </c>
      <c r="C21" s="563" t="s">
        <v>1387</v>
      </c>
      <c r="D21" s="556" t="s">
        <v>1658</v>
      </c>
      <c r="E21" s="430" t="s">
        <v>1628</v>
      </c>
      <c r="F21" s="421" t="s">
        <v>1663</v>
      </c>
      <c r="G21" s="421" t="s">
        <v>1482</v>
      </c>
      <c r="H21" s="421" t="s">
        <v>1664</v>
      </c>
      <c r="I21" s="421" t="s">
        <v>1665</v>
      </c>
      <c r="J21" s="434" t="s">
        <v>1482</v>
      </c>
      <c r="K21" s="434" t="s">
        <v>1482</v>
      </c>
      <c r="L21" s="558" t="s">
        <v>1666</v>
      </c>
    </row>
    <row r="22" spans="1:12" ht="27" hidden="1">
      <c r="A22" s="581"/>
      <c r="B22" s="562"/>
      <c r="C22" s="563"/>
      <c r="D22" s="557"/>
      <c r="E22" s="430" t="s">
        <v>1630</v>
      </c>
      <c r="F22" s="421" t="s">
        <v>1667</v>
      </c>
      <c r="G22" s="421" t="s">
        <v>1668</v>
      </c>
      <c r="H22" s="421" t="s">
        <v>1669</v>
      </c>
      <c r="I22" s="421" t="s">
        <v>1482</v>
      </c>
      <c r="J22" s="421" t="s">
        <v>1482</v>
      </c>
      <c r="K22" s="434" t="s">
        <v>1482</v>
      </c>
      <c r="L22" s="558"/>
    </row>
    <row r="23" spans="1:12" ht="52.15" hidden="1" customHeight="1">
      <c r="A23" s="581"/>
      <c r="B23" s="562" t="s">
        <v>1605</v>
      </c>
      <c r="C23" s="563" t="s">
        <v>1387</v>
      </c>
      <c r="D23" s="556" t="s">
        <v>1670</v>
      </c>
      <c r="E23" s="430" t="s">
        <v>1628</v>
      </c>
      <c r="F23" s="421" t="s">
        <v>1671</v>
      </c>
      <c r="G23" s="421" t="s">
        <v>1482</v>
      </c>
      <c r="H23" s="424" t="s">
        <v>1672</v>
      </c>
      <c r="I23" s="421" t="s">
        <v>1673</v>
      </c>
      <c r="J23" s="421" t="s">
        <v>1674</v>
      </c>
      <c r="K23" s="434" t="s">
        <v>1482</v>
      </c>
      <c r="L23" s="558" t="s">
        <v>1675</v>
      </c>
    </row>
    <row r="24" spans="1:12" ht="58.9" hidden="1" customHeight="1">
      <c r="A24" s="581"/>
      <c r="B24" s="562"/>
      <c r="C24" s="563"/>
      <c r="D24" s="557"/>
      <c r="E24" s="430" t="s">
        <v>1630</v>
      </c>
      <c r="F24" s="421" t="s">
        <v>1676</v>
      </c>
      <c r="G24" s="421" t="s">
        <v>1677</v>
      </c>
      <c r="H24" s="424" t="s">
        <v>1678</v>
      </c>
      <c r="I24" s="421">
        <v>0</v>
      </c>
      <c r="J24" s="421">
        <v>0</v>
      </c>
      <c r="K24" s="434" t="s">
        <v>1482</v>
      </c>
      <c r="L24" s="558"/>
    </row>
    <row r="25" spans="1:12" ht="15.75" hidden="1" customHeight="1">
      <c r="A25" s="581"/>
      <c r="B25" s="562" t="s">
        <v>1514</v>
      </c>
      <c r="C25" s="563" t="s">
        <v>1387</v>
      </c>
      <c r="D25" s="556" t="s">
        <v>1670</v>
      </c>
      <c r="E25" s="430" t="s">
        <v>1628</v>
      </c>
      <c r="F25" s="412" t="s">
        <v>1482</v>
      </c>
      <c r="G25" s="412" t="s">
        <v>1482</v>
      </c>
      <c r="H25" s="421" t="s">
        <v>230</v>
      </c>
      <c r="I25" s="421" t="s">
        <v>1629</v>
      </c>
      <c r="J25" s="412" t="s">
        <v>1482</v>
      </c>
      <c r="K25" s="414" t="s">
        <v>1482</v>
      </c>
      <c r="L25" s="558"/>
    </row>
    <row r="26" spans="1:12" ht="62.45" hidden="1" customHeight="1">
      <c r="A26" s="581"/>
      <c r="B26" s="562"/>
      <c r="C26" s="563"/>
      <c r="D26" s="557"/>
      <c r="E26" s="430" t="s">
        <v>1630</v>
      </c>
      <c r="F26" s="421" t="s">
        <v>1679</v>
      </c>
      <c r="G26" s="421" t="s">
        <v>1482</v>
      </c>
      <c r="H26" s="421" t="s">
        <v>1680</v>
      </c>
      <c r="I26" s="421" t="s">
        <v>1482</v>
      </c>
      <c r="J26" s="421" t="s">
        <v>1681</v>
      </c>
      <c r="K26" s="434" t="s">
        <v>1482</v>
      </c>
      <c r="L26" s="558"/>
    </row>
    <row r="27" spans="1:12" ht="115.15" hidden="1" customHeight="1">
      <c r="A27" s="581"/>
      <c r="B27" s="562" t="s">
        <v>1528</v>
      </c>
      <c r="C27" s="563" t="s">
        <v>1388</v>
      </c>
      <c r="D27" s="556" t="s">
        <v>1682</v>
      </c>
      <c r="E27" s="430" t="s">
        <v>1628</v>
      </c>
      <c r="F27" s="434" t="s">
        <v>942</v>
      </c>
      <c r="G27" s="421" t="s">
        <v>1482</v>
      </c>
      <c r="H27" s="421" t="s">
        <v>1683</v>
      </c>
      <c r="I27" s="421" t="s">
        <v>1684</v>
      </c>
      <c r="J27" s="434" t="s">
        <v>1685</v>
      </c>
      <c r="K27" s="434" t="s">
        <v>1482</v>
      </c>
      <c r="L27" s="558"/>
    </row>
    <row r="28" spans="1:12" ht="40.5" hidden="1">
      <c r="A28" s="581"/>
      <c r="B28" s="562"/>
      <c r="C28" s="563"/>
      <c r="D28" s="557"/>
      <c r="E28" s="430" t="s">
        <v>1630</v>
      </c>
      <c r="F28" s="421" t="s">
        <v>1686</v>
      </c>
      <c r="G28" s="421" t="s">
        <v>1687</v>
      </c>
      <c r="H28" s="421" t="s">
        <v>1688</v>
      </c>
      <c r="I28" s="421" t="s">
        <v>1689</v>
      </c>
      <c r="J28" s="421" t="s">
        <v>1482</v>
      </c>
      <c r="K28" s="434" t="s">
        <v>1482</v>
      </c>
      <c r="L28" s="558"/>
    </row>
    <row r="29" spans="1:12" ht="81" hidden="1">
      <c r="A29" s="581"/>
      <c r="B29" s="562" t="s">
        <v>1546</v>
      </c>
      <c r="C29" s="563" t="s">
        <v>1388</v>
      </c>
      <c r="D29" s="556" t="s">
        <v>1690</v>
      </c>
      <c r="E29" s="430" t="s">
        <v>1628</v>
      </c>
      <c r="F29" s="421" t="s">
        <v>1482</v>
      </c>
      <c r="G29" s="421"/>
      <c r="H29" s="421" t="s">
        <v>1691</v>
      </c>
      <c r="I29" s="421" t="s">
        <v>1692</v>
      </c>
      <c r="J29" s="421" t="s">
        <v>1693</v>
      </c>
      <c r="K29" s="483" t="s">
        <v>1694</v>
      </c>
      <c r="L29" s="558" t="s">
        <v>1695</v>
      </c>
    </row>
    <row r="30" spans="1:12" ht="40.5" hidden="1">
      <c r="A30" s="581"/>
      <c r="B30" s="562"/>
      <c r="C30" s="563"/>
      <c r="D30" s="557"/>
      <c r="E30" s="430" t="s">
        <v>1630</v>
      </c>
      <c r="F30" s="421" t="s">
        <v>1696</v>
      </c>
      <c r="G30" s="421" t="s">
        <v>1697</v>
      </c>
      <c r="H30" s="421" t="s">
        <v>1698</v>
      </c>
      <c r="I30" s="421" t="s">
        <v>1482</v>
      </c>
      <c r="J30" s="421" t="s">
        <v>1482</v>
      </c>
      <c r="K30" s="434" t="s">
        <v>1699</v>
      </c>
      <c r="L30" s="558"/>
    </row>
    <row r="31" spans="1:12" ht="69.599999999999994" hidden="1" customHeight="1">
      <c r="A31" s="581"/>
      <c r="B31" s="562" t="s">
        <v>1548</v>
      </c>
      <c r="C31" s="563" t="s">
        <v>1388</v>
      </c>
      <c r="D31" s="556" t="s">
        <v>1682</v>
      </c>
      <c r="E31" s="430" t="s">
        <v>1628</v>
      </c>
      <c r="F31" s="421" t="s">
        <v>1482</v>
      </c>
      <c r="G31" s="421" t="s">
        <v>1482</v>
      </c>
      <c r="H31" s="482" t="s">
        <v>1700</v>
      </c>
      <c r="I31" s="421" t="s">
        <v>1701</v>
      </c>
      <c r="J31" s="421" t="s">
        <v>1702</v>
      </c>
      <c r="K31" s="434" t="s">
        <v>1703</v>
      </c>
      <c r="L31" s="558" t="s">
        <v>1704</v>
      </c>
    </row>
    <row r="32" spans="1:12" ht="40.5" hidden="1">
      <c r="A32" s="581"/>
      <c r="B32" s="562"/>
      <c r="C32" s="563"/>
      <c r="D32" s="557"/>
      <c r="E32" s="430" t="s">
        <v>1630</v>
      </c>
      <c r="F32" s="421" t="s">
        <v>1705</v>
      </c>
      <c r="G32" s="421" t="s">
        <v>1706</v>
      </c>
      <c r="H32" s="421" t="s">
        <v>1707</v>
      </c>
      <c r="I32" s="421" t="s">
        <v>1482</v>
      </c>
      <c r="J32" s="421" t="s">
        <v>1708</v>
      </c>
      <c r="K32" s="434"/>
      <c r="L32" s="558"/>
    </row>
    <row r="33" spans="1:12" ht="15.75" hidden="1" customHeight="1">
      <c r="A33" s="581"/>
      <c r="B33" s="562" t="s">
        <v>1568</v>
      </c>
      <c r="C33" s="582" t="s">
        <v>1389</v>
      </c>
      <c r="D33" s="556" t="s">
        <v>1709</v>
      </c>
      <c r="E33" s="430" t="s">
        <v>1628</v>
      </c>
      <c r="F33" s="421" t="s">
        <v>1710</v>
      </c>
      <c r="G33" s="421" t="s">
        <v>1482</v>
      </c>
      <c r="H33" s="421" t="s">
        <v>1711</v>
      </c>
      <c r="I33" s="421" t="s">
        <v>1712</v>
      </c>
      <c r="J33" s="421" t="s">
        <v>1482</v>
      </c>
      <c r="K33" s="434" t="s">
        <v>1482</v>
      </c>
      <c r="L33" s="558"/>
    </row>
    <row r="34" spans="1:12" ht="15.75" hidden="1" customHeight="1">
      <c r="A34" s="581"/>
      <c r="B34" s="562"/>
      <c r="C34" s="583"/>
      <c r="D34" s="557"/>
      <c r="E34" s="430" t="s">
        <v>1630</v>
      </c>
      <c r="F34" s="421" t="s">
        <v>1713</v>
      </c>
      <c r="G34" s="421" t="s">
        <v>1482</v>
      </c>
      <c r="H34" s="421" t="s">
        <v>1714</v>
      </c>
      <c r="I34" s="421" t="s">
        <v>1482</v>
      </c>
      <c r="J34" s="421" t="s">
        <v>1715</v>
      </c>
      <c r="K34" s="434" t="s">
        <v>1482</v>
      </c>
      <c r="L34" s="558"/>
    </row>
    <row r="35" spans="1:12" ht="15" hidden="1"/>
    <row r="36" spans="1:12" ht="15" hidden="1">
      <c r="A36" s="426" t="s">
        <v>1716</v>
      </c>
    </row>
    <row r="37" spans="1:12" ht="206.25" customHeight="1">
      <c r="A37" s="479">
        <v>45352</v>
      </c>
      <c r="B37" s="475" t="s">
        <v>1717</v>
      </c>
      <c r="C37" s="476"/>
      <c r="D37" s="477" t="s">
        <v>1718</v>
      </c>
      <c r="E37" s="478"/>
      <c r="F37" s="480" t="s">
        <v>1719</v>
      </c>
      <c r="G37" s="480" t="s">
        <v>1720</v>
      </c>
      <c r="H37" s="479">
        <v>45381</v>
      </c>
      <c r="I37" s="481" t="s">
        <v>1721</v>
      </c>
      <c r="J37" s="480"/>
      <c r="K37" s="481"/>
      <c r="L37" s="480" t="s">
        <v>1722</v>
      </c>
    </row>
    <row r="38" spans="1:12" ht="171.75" customHeight="1">
      <c r="A38" s="479">
        <v>45352</v>
      </c>
      <c r="B38" s="475" t="s">
        <v>1723</v>
      </c>
      <c r="C38" s="476"/>
      <c r="D38" s="477" t="s">
        <v>1718</v>
      </c>
      <c r="E38" s="479"/>
      <c r="F38" s="480"/>
      <c r="G38" s="480" t="s">
        <v>1724</v>
      </c>
      <c r="H38" s="479">
        <v>45381</v>
      </c>
      <c r="I38" s="480" t="s">
        <v>1725</v>
      </c>
      <c r="J38" s="480"/>
      <c r="K38" s="481"/>
      <c r="L38" s="480" t="s">
        <v>1726</v>
      </c>
    </row>
    <row r="39" spans="1:12" ht="147" customHeight="1">
      <c r="A39" s="479">
        <v>45352</v>
      </c>
      <c r="B39" s="475" t="s">
        <v>1727</v>
      </c>
      <c r="C39" s="476"/>
      <c r="D39" s="477" t="s">
        <v>1718</v>
      </c>
      <c r="E39" s="479"/>
      <c r="F39" s="480" t="s">
        <v>1728</v>
      </c>
      <c r="G39" s="481" t="s">
        <v>1729</v>
      </c>
      <c r="H39" s="479">
        <v>45381</v>
      </c>
      <c r="I39" s="480" t="s">
        <v>1730</v>
      </c>
      <c r="J39" s="480" t="s">
        <v>1731</v>
      </c>
      <c r="K39" s="481"/>
      <c r="L39" s="480" t="s">
        <v>1732</v>
      </c>
    </row>
    <row r="40" spans="1:12" ht="161.25" customHeight="1">
      <c r="A40" s="479">
        <v>45352</v>
      </c>
      <c r="B40" s="475" t="s">
        <v>1733</v>
      </c>
      <c r="C40" s="476"/>
      <c r="D40" s="477" t="s">
        <v>1718</v>
      </c>
      <c r="E40" s="479"/>
      <c r="F40" s="480" t="s">
        <v>1734</v>
      </c>
      <c r="G40" s="480" t="s">
        <v>1735</v>
      </c>
      <c r="H40" s="479">
        <v>45381</v>
      </c>
      <c r="I40" s="480" t="s">
        <v>1736</v>
      </c>
      <c r="J40" s="480" t="s">
        <v>1737</v>
      </c>
      <c r="K40" s="481"/>
      <c r="L40" s="480" t="s">
        <v>1738</v>
      </c>
    </row>
    <row r="41" spans="1:12" ht="121.5">
      <c r="A41" s="479">
        <v>45352</v>
      </c>
      <c r="B41" s="475" t="s">
        <v>1739</v>
      </c>
      <c r="C41" s="476"/>
      <c r="D41" s="477" t="s">
        <v>1718</v>
      </c>
      <c r="E41" s="479"/>
      <c r="F41" s="480" t="s">
        <v>1740</v>
      </c>
      <c r="G41" s="480" t="s">
        <v>1741</v>
      </c>
      <c r="H41" s="479">
        <v>45381</v>
      </c>
      <c r="I41" s="506" t="s">
        <v>1742</v>
      </c>
      <c r="J41" s="480"/>
      <c r="K41" s="481"/>
      <c r="L41" s="480" t="s">
        <v>1743</v>
      </c>
    </row>
    <row r="42" spans="1:12" ht="162">
      <c r="A42" s="479">
        <v>45352</v>
      </c>
      <c r="B42" s="475" t="s">
        <v>1744</v>
      </c>
      <c r="C42" s="476"/>
      <c r="D42" s="477" t="s">
        <v>1718</v>
      </c>
      <c r="E42" s="478"/>
      <c r="F42" s="480" t="s">
        <v>1745</v>
      </c>
      <c r="G42" s="480" t="s">
        <v>1746</v>
      </c>
      <c r="H42" s="479">
        <v>45381</v>
      </c>
      <c r="I42" s="481" t="s">
        <v>1747</v>
      </c>
      <c r="J42" s="480"/>
      <c r="K42" s="481"/>
      <c r="L42" s="480" t="s">
        <v>1748</v>
      </c>
    </row>
    <row r="43" spans="1:12" ht="94.5">
      <c r="A43" s="479">
        <v>45352</v>
      </c>
      <c r="B43" s="475" t="s">
        <v>1749</v>
      </c>
      <c r="C43" s="476"/>
      <c r="D43" s="477" t="s">
        <v>1718</v>
      </c>
      <c r="E43" s="478"/>
      <c r="F43" s="480" t="s">
        <v>1750</v>
      </c>
      <c r="G43" s="480" t="s">
        <v>1751</v>
      </c>
      <c r="H43" s="479">
        <v>45381</v>
      </c>
      <c r="I43" s="481" t="s">
        <v>732</v>
      </c>
      <c r="J43" s="480"/>
      <c r="K43" s="481"/>
      <c r="L43" s="480" t="s">
        <v>1752</v>
      </c>
    </row>
    <row r="44" spans="1:12" ht="15.75" customHeight="1">
      <c r="A44" s="470"/>
    </row>
  </sheetData>
  <autoFilter ref="C1:C44" xr:uid="{49B3E076-1C28-4121-BF61-7F60F2E9A3FD}"/>
  <mergeCells count="76">
    <mergeCell ref="A17:A34"/>
    <mergeCell ref="B33:B34"/>
    <mergeCell ref="C33:C34"/>
    <mergeCell ref="A3:A16"/>
    <mergeCell ref="C15:C16"/>
    <mergeCell ref="B7:B8"/>
    <mergeCell ref="C7:C8"/>
    <mergeCell ref="B9:B10"/>
    <mergeCell ref="C9:C10"/>
    <mergeCell ref="B11:B12"/>
    <mergeCell ref="C11:C12"/>
    <mergeCell ref="B23:B24"/>
    <mergeCell ref="C23:C24"/>
    <mergeCell ref="B17:B18"/>
    <mergeCell ref="B13:B14"/>
    <mergeCell ref="C13:C14"/>
    <mergeCell ref="B15:B16"/>
    <mergeCell ref="F1:G1"/>
    <mergeCell ref="H1:H2"/>
    <mergeCell ref="A1:A2"/>
    <mergeCell ref="L1:L2"/>
    <mergeCell ref="B3:B4"/>
    <mergeCell ref="C3:C4"/>
    <mergeCell ref="B5:B6"/>
    <mergeCell ref="C5:C6"/>
    <mergeCell ref="K1:K2"/>
    <mergeCell ref="I1:I2"/>
    <mergeCell ref="J1:J2"/>
    <mergeCell ref="B1:B2"/>
    <mergeCell ref="C1:C2"/>
    <mergeCell ref="E1:E2"/>
    <mergeCell ref="D13:D14"/>
    <mergeCell ref="C17:C18"/>
    <mergeCell ref="B19:B20"/>
    <mergeCell ref="C19:C20"/>
    <mergeCell ref="B21:B22"/>
    <mergeCell ref="C21:C22"/>
    <mergeCell ref="B31:B32"/>
    <mergeCell ref="C31:C32"/>
    <mergeCell ref="L31:L32"/>
    <mergeCell ref="B25:B26"/>
    <mergeCell ref="C25:C26"/>
    <mergeCell ref="B27:B28"/>
    <mergeCell ref="C27:C28"/>
    <mergeCell ref="B29:B30"/>
    <mergeCell ref="C29:C30"/>
    <mergeCell ref="D27:D28"/>
    <mergeCell ref="D29:D30"/>
    <mergeCell ref="D31:D32"/>
    <mergeCell ref="L29:L30"/>
    <mergeCell ref="L21:L22"/>
    <mergeCell ref="L3:L4"/>
    <mergeCell ref="L5:L6"/>
    <mergeCell ref="L7:L8"/>
    <mergeCell ref="L9:L10"/>
    <mergeCell ref="L11:L12"/>
    <mergeCell ref="L13:L14"/>
    <mergeCell ref="L15:L16"/>
    <mergeCell ref="L17:L18"/>
    <mergeCell ref="L19:L20"/>
    <mergeCell ref="D15:D16"/>
    <mergeCell ref="D17:D18"/>
    <mergeCell ref="D19:D20"/>
    <mergeCell ref="D21:D22"/>
    <mergeCell ref="D3:D4"/>
    <mergeCell ref="D5:D6"/>
    <mergeCell ref="D7:D8"/>
    <mergeCell ref="D9:D10"/>
    <mergeCell ref="D11:D12"/>
    <mergeCell ref="D33:D34"/>
    <mergeCell ref="L23:L24"/>
    <mergeCell ref="L25:L26"/>
    <mergeCell ref="L27:L28"/>
    <mergeCell ref="L33:L34"/>
    <mergeCell ref="D23:D24"/>
    <mergeCell ref="D25:D26"/>
  </mergeCells>
  <phoneticPr fontId="10"/>
  <conditionalFormatting sqref="A1:D1 B3:C3 B5:C5 B7:C7 B9 B11 B17:C17 B19:C19 B21:C21 B23:C23 B25:C25 B27:C27 B29:C29 B31:C31 B33:C33 B35:D37 B38:C41 B42:D1048576">
    <cfRule type="cellIs" dxfId="800" priority="1015" operator="equal">
      <formula>#REF!</formula>
    </cfRule>
    <cfRule type="cellIs" dxfId="799" priority="1016" operator="equal">
      <formula>#REF!</formula>
    </cfRule>
    <cfRule type="cellIs" dxfId="798" priority="1017" operator="equal">
      <formula>#REF!</formula>
    </cfRule>
    <cfRule type="cellIs" dxfId="797" priority="1018" operator="equal">
      <formula>#REF!</formula>
    </cfRule>
    <cfRule type="cellIs" dxfId="796" priority="1019" operator="equal">
      <formula>#REF!</formula>
    </cfRule>
    <cfRule type="cellIs" dxfId="795" priority="1020" operator="equal">
      <formula>#REF!</formula>
    </cfRule>
    <cfRule type="cellIs" dxfId="794" priority="1021" operator="equal">
      <formula>#REF!</formula>
    </cfRule>
  </conditionalFormatting>
  <conditionalFormatting sqref="A1:D1 B3:C3 B5:C5 B7:C7 B9:C9 B11:C11 B13:C13 B15:C15 B17:C17 B19:C19 B21:C21 B23:C23 B25:C25 B27:C27 B29:C29 B31:C31 B33:C33 B35:D37 B38:C41 B42:D1048576">
    <cfRule type="cellIs" dxfId="793" priority="1023" operator="equal">
      <formula>#REF!</formula>
    </cfRule>
    <cfRule type="cellIs" dxfId="792" priority="1024" operator="equal">
      <formula>#REF!</formula>
    </cfRule>
    <cfRule type="cellIs" dxfId="791" priority="1025" operator="equal">
      <formula>#REF!</formula>
    </cfRule>
  </conditionalFormatting>
  <conditionalFormatting sqref="A1:D1 B3:C3 B5:C5 B7:C7 B9:C9 B11:C11 B17:C17 B19:C19 B21:C21 B23:C23 B25:C25 B27:C27 B29:C29 B31:C31 B33:C33 B35:D37 B38:C41 B42:D1048576 B13:C13 B15:C15">
    <cfRule type="cellIs" dxfId="790" priority="1022" operator="equal">
      <formula>#REF!</formula>
    </cfRule>
  </conditionalFormatting>
  <conditionalFormatting sqref="A1:D1 B5:C5 B7:C7 B9:C9 B11:C11 B13:C13 B15:C15 B17:C17 B19:C19 B21:C21 B23:C23 B25:C25 B27:C27 B29:C29 B31:C31 B33:C33 B35:D37 B38:C41 B42:D1048576 B3:C3">
    <cfRule type="cellIs" dxfId="789" priority="1006" operator="equal">
      <formula>#REF!</formula>
    </cfRule>
  </conditionalFormatting>
  <conditionalFormatting sqref="A1:D1 B15:C15 B35:D37 B38:C41 B42:D1048576 B5:C5 B7:C7 B9:C9 B11:C11 B13:C13 B17:C17 B19:C19 B21:C21 B23:C23 B25:C25 B27:C27 B29:C29 B31:C31 B33:C33">
    <cfRule type="cellIs" dxfId="788" priority="1005" operator="equal">
      <formula>#REF!</formula>
    </cfRule>
  </conditionalFormatting>
  <conditionalFormatting sqref="A1:E1 E3 E5 E7 E9 E11 E13 E15 E17 E19 E21 E23 E25 E27 E29 E31 E33 B35:E37 B42:E1048576 B15:C15 B38:C41">
    <cfRule type="cellIs" dxfId="787" priority="1003" operator="equal">
      <formula>#REF!</formula>
    </cfRule>
  </conditionalFormatting>
  <conditionalFormatting sqref="B9:C9 B11:C11 B13:C13 A1:D1 B3:C3 B5:C5 B7:C7 B15:C15 B17:C17 B19:C19 B21:C21 B23:C23 B25:C25 B27:C27 B29:C29 B31:C31 B33:C33 B35:D37 B38:C41 B42:D1048576">
    <cfRule type="cellIs" dxfId="786" priority="1014" operator="equal">
      <formula>#REF!</formula>
    </cfRule>
  </conditionalFormatting>
  <conditionalFormatting sqref="B9:C9 B11:C11 B13:C13 E9 E11 E13">
    <cfRule type="cellIs" dxfId="785" priority="1007" operator="equal">
      <formula>#REF!</formula>
    </cfRule>
  </conditionalFormatting>
  <conditionalFormatting sqref="B9:C9 E9 B11:C11 E11 B13:C13 E13">
    <cfRule type="cellIs" dxfId="784" priority="1008" operator="equal">
      <formula>#REF!</formula>
    </cfRule>
    <cfRule type="cellIs" dxfId="783" priority="1009" operator="equal">
      <formula>#REF!</formula>
    </cfRule>
    <cfRule type="cellIs" dxfId="782" priority="1010" operator="equal">
      <formula>#REF!</formula>
    </cfRule>
    <cfRule type="cellIs" dxfId="781" priority="1011" operator="equal">
      <formula>#REF!</formula>
    </cfRule>
    <cfRule type="cellIs" dxfId="780" priority="1013" operator="equal">
      <formula>#REF!</formula>
    </cfRule>
    <cfRule type="cellIs" dxfId="779" priority="1012" operator="equal">
      <formula>#REF!</formula>
    </cfRule>
  </conditionalFormatting>
  <conditionalFormatting sqref="B15:C15 E15">
    <cfRule type="cellIs" dxfId="778" priority="942" operator="equal">
      <formula>#REF!</formula>
    </cfRule>
  </conditionalFormatting>
  <conditionalFormatting sqref="B15:C15">
    <cfRule type="cellIs" dxfId="777" priority="945" operator="equal">
      <formula>#REF!</formula>
    </cfRule>
    <cfRule type="cellIs" dxfId="776" priority="940" operator="equal">
      <formula>#REF!</formula>
    </cfRule>
    <cfRule type="cellIs" dxfId="775" priority="941" operator="equal">
      <formula>#REF!</formula>
    </cfRule>
    <cfRule type="cellIs" dxfId="774" priority="943" operator="equal">
      <formula>#REF!</formula>
    </cfRule>
    <cfRule type="cellIs" dxfId="773" priority="944" operator="equal">
      <formula>#REF!</formula>
    </cfRule>
  </conditionalFormatting>
  <conditionalFormatting sqref="B3:D3 D5 D7 D9 D11 D13 D15 D17 D19 D21 D23 D25 D27 D29 D31 D33">
    <cfRule type="cellIs" dxfId="772" priority="221" operator="equal">
      <formula>#REF!</formula>
    </cfRule>
  </conditionalFormatting>
  <conditionalFormatting sqref="B3:D3 D5 D7 D9:E9 D11 D13:E13 D15:E15 D17:E17 D19:E19 D21:E21 D23:E23 D25:E25 D27:E27 D29:E29 D31:E31 D33:E33">
    <cfRule type="cellIs" dxfId="771" priority="223" operator="equal">
      <formula>#REF!</formula>
    </cfRule>
  </conditionalFormatting>
  <conditionalFormatting sqref="D2">
    <cfRule type="cellIs" dxfId="770" priority="227" operator="equal">
      <formula>#REF!</formula>
    </cfRule>
    <cfRule type="cellIs" dxfId="769" priority="235" operator="equal">
      <formula>#REF!</formula>
    </cfRule>
    <cfRule type="cellIs" dxfId="768" priority="229" operator="equal">
      <formula>#REF!</formula>
    </cfRule>
    <cfRule type="cellIs" dxfId="767" priority="228" operator="equal">
      <formula>#REF!</formula>
    </cfRule>
    <cfRule type="cellIs" dxfId="766" priority="230" operator="equal">
      <formula>#REF!</formula>
    </cfRule>
    <cfRule type="cellIs" dxfId="765" priority="231" operator="equal">
      <formula>#REF!</formula>
    </cfRule>
    <cfRule type="cellIs" dxfId="764" priority="232" operator="equal">
      <formula>#REF!</formula>
    </cfRule>
    <cfRule type="cellIs" dxfId="763" priority="233" operator="equal">
      <formula>#REF!</formula>
    </cfRule>
    <cfRule type="cellIs" dxfId="762" priority="234" operator="equal">
      <formula>#REF!</formula>
    </cfRule>
    <cfRule type="cellIs" dxfId="761" priority="236" operator="equal">
      <formula>#REF!</formula>
    </cfRule>
    <cfRule type="cellIs" dxfId="760" priority="237" operator="equal">
      <formula>#REF!</formula>
    </cfRule>
    <cfRule type="cellIs" dxfId="759" priority="238" operator="equal">
      <formula>#REF!</formula>
    </cfRule>
    <cfRule type="cellIs" dxfId="758" priority="239" operator="equal">
      <formula>#REF!</formula>
    </cfRule>
    <cfRule type="cellIs" dxfId="757" priority="240" operator="equal">
      <formula>#REF!</formula>
    </cfRule>
  </conditionalFormatting>
  <conditionalFormatting sqref="D2:D3 B5:D5 B7:E7 B9:D9 B11:D11 B13:D13 B15:D15 B17:D17 B19:D19 B21:D21 B23:D23 B25:D25 B27:D27 B29:D29 B31:D31 B33:D33">
    <cfRule type="cellIs" dxfId="756" priority="224" operator="equal">
      <formula>#REF!</formula>
    </cfRule>
  </conditionalFormatting>
  <conditionalFormatting sqref="D3 D5 D7 D9 D11 D13 D15 D17 D19 D21 D23 D25 D27 D29 D31 D33">
    <cfRule type="cellIs" dxfId="755" priority="225" operator="equal">
      <formula>#REF!</formula>
    </cfRule>
    <cfRule type="cellIs" dxfId="754" priority="218" operator="equal">
      <formula>#REF!</formula>
    </cfRule>
    <cfRule type="cellIs" dxfId="753" priority="220" operator="equal">
      <formula>#REF!</formula>
    </cfRule>
    <cfRule type="cellIs" dxfId="752" priority="219" operator="equal">
      <formula>#REF!</formula>
    </cfRule>
    <cfRule type="cellIs" dxfId="751" priority="217" operator="equal">
      <formula>#REF!</formula>
    </cfRule>
    <cfRule type="cellIs" dxfId="750" priority="216" operator="equal">
      <formula>#REF!</formula>
    </cfRule>
    <cfRule type="cellIs" dxfId="749" priority="214" operator="equal">
      <formula>#REF!</formula>
    </cfRule>
    <cfRule type="cellIs" dxfId="748" priority="213" operator="equal">
      <formula>#REF!</formula>
    </cfRule>
    <cfRule type="cellIs" dxfId="747" priority="212" operator="equal">
      <formula>#REF!</formula>
    </cfRule>
    <cfRule type="cellIs" dxfId="746" priority="211" operator="equal">
      <formula>#REF!</formula>
    </cfRule>
  </conditionalFormatting>
  <conditionalFormatting sqref="D3 D5 D7 D9:E9 D11 D13:E13 D15:E15 D17:E17 D19:E19 D21:E21 D23:E23 D25:E25 D27:E27 D29:E29 D31:E31 D33:E33">
    <cfRule type="cellIs" dxfId="745" priority="222" operator="equal">
      <formula>#REF!</formula>
    </cfRule>
    <cfRule type="cellIs" dxfId="744" priority="215" operator="equal">
      <formula>#REF!</formula>
    </cfRule>
  </conditionalFormatting>
  <conditionalFormatting sqref="D38">
    <cfRule type="cellIs" dxfId="743" priority="57" operator="equal">
      <formula>#REF!</formula>
    </cfRule>
    <cfRule type="cellIs" dxfId="742" priority="49" operator="equal">
      <formula>#REF!</formula>
    </cfRule>
    <cfRule type="cellIs" dxfId="741" priority="60" operator="equal">
      <formula>#REF!</formula>
    </cfRule>
    <cfRule type="cellIs" dxfId="740" priority="59" operator="equal">
      <formula>#REF!</formula>
    </cfRule>
    <cfRule type="cellIs" dxfId="739" priority="58" operator="equal">
      <formula>#REF!</formula>
    </cfRule>
    <cfRule type="cellIs" dxfId="738" priority="56" operator="equal">
      <formula>#REF!</formula>
    </cfRule>
    <cfRule type="cellIs" dxfId="737" priority="55" operator="equal">
      <formula>#REF!</formula>
    </cfRule>
    <cfRule type="cellIs" dxfId="736" priority="54" operator="equal">
      <formula>#REF!</formula>
    </cfRule>
    <cfRule type="cellIs" dxfId="735" priority="47" operator="equal">
      <formula>#REF!</formula>
    </cfRule>
    <cfRule type="cellIs" dxfId="734" priority="48" operator="equal">
      <formula>#REF!</formula>
    </cfRule>
    <cfRule type="cellIs" dxfId="733" priority="50" operator="equal">
      <formula>#REF!</formula>
    </cfRule>
    <cfRule type="cellIs" dxfId="732" priority="51" operator="equal">
      <formula>#REF!</formula>
    </cfRule>
    <cfRule type="cellIs" dxfId="731" priority="52" operator="equal">
      <formula>#REF!</formula>
    </cfRule>
    <cfRule type="cellIs" dxfId="730" priority="53" operator="equal">
      <formula>#REF!</formula>
    </cfRule>
  </conditionalFormatting>
  <conditionalFormatting sqref="D38:D39">
    <cfRule type="cellIs" dxfId="729" priority="44" operator="equal">
      <formula>#REF!</formula>
    </cfRule>
  </conditionalFormatting>
  <conditionalFormatting sqref="D39">
    <cfRule type="cellIs" dxfId="728" priority="40" operator="equal">
      <formula>#REF!</formula>
    </cfRule>
    <cfRule type="cellIs" dxfId="727" priority="39" operator="equal">
      <formula>#REF!</formula>
    </cfRule>
    <cfRule type="cellIs" dxfId="726" priority="38" operator="equal">
      <formula>#REF!</formula>
    </cfRule>
    <cfRule type="cellIs" dxfId="725" priority="37" operator="equal">
      <formula>#REF!</formula>
    </cfRule>
    <cfRule type="cellIs" dxfId="724" priority="36" operator="equal">
      <formula>#REF!</formula>
    </cfRule>
    <cfRule type="cellIs" dxfId="723" priority="34" operator="equal">
      <formula>#REF!</formula>
    </cfRule>
    <cfRule type="cellIs" dxfId="722" priority="33" operator="equal">
      <formula>#REF!</formula>
    </cfRule>
    <cfRule type="cellIs" dxfId="721" priority="32" operator="equal">
      <formula>#REF!</formula>
    </cfRule>
    <cfRule type="cellIs" dxfId="720" priority="43" operator="equal">
      <formula>#REF!</formula>
    </cfRule>
    <cfRule type="cellIs" dxfId="719" priority="35" operator="equal">
      <formula>#REF!</formula>
    </cfRule>
    <cfRule type="cellIs" dxfId="718" priority="45" operator="equal">
      <formula>#REF!</formula>
    </cfRule>
    <cfRule type="cellIs" dxfId="717" priority="42" operator="equal">
      <formula>#REF!</formula>
    </cfRule>
    <cfRule type="cellIs" dxfId="716" priority="41" operator="equal">
      <formula>#REF!</formula>
    </cfRule>
  </conditionalFormatting>
  <conditionalFormatting sqref="D39:D40">
    <cfRule type="cellIs" dxfId="715" priority="29" operator="equal">
      <formula>#REF!</formula>
    </cfRule>
  </conditionalFormatting>
  <conditionalFormatting sqref="D40">
    <cfRule type="cellIs" dxfId="714" priority="21" operator="equal">
      <formula>#REF!</formula>
    </cfRule>
    <cfRule type="cellIs" dxfId="713" priority="23" operator="equal">
      <formula>#REF!</formula>
    </cfRule>
    <cfRule type="cellIs" dxfId="712" priority="20" operator="equal">
      <formula>#REF!</formula>
    </cfRule>
    <cfRule type="cellIs" dxfId="711" priority="22" operator="equal">
      <formula>#REF!</formula>
    </cfRule>
    <cfRule type="cellIs" dxfId="710" priority="28" operator="equal">
      <formula>#REF!</formula>
    </cfRule>
    <cfRule type="cellIs" dxfId="709" priority="30" operator="equal">
      <formula>#REF!</formula>
    </cfRule>
    <cfRule type="cellIs" dxfId="708" priority="27" operator="equal">
      <formula>#REF!</formula>
    </cfRule>
    <cfRule type="cellIs" dxfId="707" priority="19" operator="equal">
      <formula>#REF!</formula>
    </cfRule>
    <cfRule type="cellIs" dxfId="706" priority="18" operator="equal">
      <formula>#REF!</formula>
    </cfRule>
    <cfRule type="cellIs" dxfId="705" priority="17" operator="equal">
      <formula>#REF!</formula>
    </cfRule>
    <cfRule type="cellIs" dxfId="704" priority="26" operator="equal">
      <formula>#REF!</formula>
    </cfRule>
    <cfRule type="cellIs" dxfId="703" priority="25" operator="equal">
      <formula>#REF!</formula>
    </cfRule>
    <cfRule type="cellIs" dxfId="702" priority="24" operator="equal">
      <formula>#REF!</formula>
    </cfRule>
  </conditionalFormatting>
  <conditionalFormatting sqref="D40:D41">
    <cfRule type="cellIs" dxfId="701" priority="14" operator="equal">
      <formula>#REF!</formula>
    </cfRule>
  </conditionalFormatting>
  <conditionalFormatting sqref="D41">
    <cfRule type="cellIs" dxfId="700" priority="3" operator="equal">
      <formula>#REF!</formula>
    </cfRule>
    <cfRule type="cellIs" dxfId="699" priority="4" operator="equal">
      <formula>#REF!</formula>
    </cfRule>
    <cfRule type="cellIs" dxfId="698" priority="5" operator="equal">
      <formula>#REF!</formula>
    </cfRule>
    <cfRule type="cellIs" dxfId="697" priority="6" operator="equal">
      <formula>#REF!</formula>
    </cfRule>
    <cfRule type="cellIs" dxfId="696" priority="7" operator="equal">
      <formula>#REF!</formula>
    </cfRule>
    <cfRule type="cellIs" dxfId="695" priority="8" operator="equal">
      <formula>#REF!</formula>
    </cfRule>
    <cfRule type="cellIs" dxfId="694" priority="9" operator="equal">
      <formula>#REF!</formula>
    </cfRule>
    <cfRule type="cellIs" dxfId="693" priority="13" operator="equal">
      <formula>#REF!</formula>
    </cfRule>
    <cfRule type="cellIs" dxfId="692" priority="1" operator="equal">
      <formula>#REF!</formula>
    </cfRule>
    <cfRule type="cellIs" dxfId="691" priority="12" operator="equal">
      <formula>#REF!</formula>
    </cfRule>
    <cfRule type="cellIs" dxfId="690" priority="11" operator="equal">
      <formula>#REF!</formula>
    </cfRule>
    <cfRule type="cellIs" dxfId="689" priority="15" operator="equal">
      <formula>#REF!</formula>
    </cfRule>
    <cfRule type="cellIs" dxfId="688" priority="10" operator="equal">
      <formula>#REF!</formula>
    </cfRule>
    <cfRule type="cellIs" dxfId="687" priority="2" operator="equal">
      <formula>#REF!</formula>
    </cfRule>
  </conditionalFormatting>
  <conditionalFormatting sqref="E1 E3 E5 E7 E9 E11 E13 E15 E17 E19 E21 E23 E25 E27 E29 E31 E33 E35:E37 E42:E1048576">
    <cfRule type="cellIs" dxfId="686" priority="1004" operator="equal">
      <formula>#REF!</formula>
    </cfRule>
    <cfRule type="cellIs" dxfId="685" priority="1002" operator="equal">
      <formula>#REF!</formula>
    </cfRule>
    <cfRule type="cellIs" dxfId="684" priority="993" operator="equal">
      <formula>#REF!</formula>
    </cfRule>
  </conditionalFormatting>
  <conditionalFormatting sqref="E1 E3 E5 E7 E9 E11 E13 E17 E19 E21 E23 E25 E27 E29 E31 E33 E35:E37 E42:E1048576 E15">
    <cfRule type="cellIs" dxfId="683" priority="985" operator="equal">
      <formula>#REF!</formula>
    </cfRule>
  </conditionalFormatting>
  <conditionalFormatting sqref="E1 E3 E5 E7 E35:E37 E42:E1048576 E9 E11 E13 E15 E17 E19 E21 E23 E25 E27 E29 E31 E33">
    <cfRule type="cellIs" dxfId="682" priority="1001" operator="equal">
      <formula>#REF!</formula>
    </cfRule>
  </conditionalFormatting>
  <conditionalFormatting sqref="E1 E3 E5 E7 E35:E37 E42:E1048576">
    <cfRule type="cellIs" dxfId="681" priority="997" operator="equal">
      <formula>#REF!</formula>
    </cfRule>
    <cfRule type="cellIs" dxfId="680" priority="996" operator="equal">
      <formula>#REF!</formula>
    </cfRule>
    <cfRule type="cellIs" dxfId="679" priority="995" operator="equal">
      <formula>#REF!</formula>
    </cfRule>
    <cfRule type="cellIs" dxfId="678" priority="994" operator="equal">
      <formula>#REF!</formula>
    </cfRule>
    <cfRule type="cellIs" dxfId="677" priority="1000" operator="equal">
      <formula>#REF!</formula>
    </cfRule>
    <cfRule type="cellIs" dxfId="676" priority="999" operator="equal">
      <formula>#REF!</formula>
    </cfRule>
    <cfRule type="cellIs" dxfId="675" priority="998" operator="equal">
      <formula>#REF!</formula>
    </cfRule>
  </conditionalFormatting>
  <conditionalFormatting sqref="E1 E17 E19 E21 E23 E25 E27 E29 E31 E33 E35:E37 E42:E1048576 E3 E5 E9 E11 E13 E7">
    <cfRule type="cellIs" dxfId="674" priority="984" operator="equal">
      <formula>#REF!</formula>
    </cfRule>
  </conditionalFormatting>
  <conditionalFormatting sqref="E9">
    <cfRule type="cellIs" dxfId="673" priority="660" operator="equal">
      <formula>#REF!</formula>
    </cfRule>
    <cfRule type="cellIs" dxfId="672" priority="661" operator="equal">
      <formula>#REF!</formula>
    </cfRule>
    <cfRule type="cellIs" dxfId="671" priority="662" operator="equal">
      <formula>#REF!</formula>
    </cfRule>
    <cfRule type="cellIs" dxfId="670" priority="663" operator="equal">
      <formula>#REF!</formula>
    </cfRule>
  </conditionalFormatting>
  <conditionalFormatting sqref="E11">
    <cfRule type="cellIs" dxfId="669" priority="623" operator="equal">
      <formula>#REF!</formula>
    </cfRule>
    <cfRule type="cellIs" dxfId="668" priority="625" operator="equal">
      <formula>#REF!</formula>
    </cfRule>
    <cfRule type="cellIs" dxfId="667" priority="626" operator="equal">
      <formula>#REF!</formula>
    </cfRule>
    <cfRule type="cellIs" dxfId="666" priority="624" operator="equal">
      <formula>#REF!</formula>
    </cfRule>
  </conditionalFormatting>
  <conditionalFormatting sqref="E13">
    <cfRule type="cellIs" dxfId="665" priority="544" operator="equal">
      <formula>#REF!</formula>
    </cfRule>
    <cfRule type="cellIs" dxfId="664" priority="543" operator="equal">
      <formula>#REF!</formula>
    </cfRule>
    <cfRule type="cellIs" dxfId="663" priority="542" operator="equal">
      <formula>#REF!</formula>
    </cfRule>
    <cfRule type="cellIs" dxfId="662" priority="541" operator="equal">
      <formula>#REF!</formula>
    </cfRule>
  </conditionalFormatting>
  <conditionalFormatting sqref="E15">
    <cfRule type="cellIs" dxfId="661" priority="474" operator="equal">
      <formula>#REF!</formula>
    </cfRule>
    <cfRule type="cellIs" dxfId="660" priority="939" operator="equal">
      <formula>#REF!</formula>
    </cfRule>
    <cfRule type="cellIs" dxfId="659" priority="477" operator="equal">
      <formula>#REF!</formula>
    </cfRule>
    <cfRule type="cellIs" dxfId="658" priority="476" operator="equal">
      <formula>#REF!</formula>
    </cfRule>
    <cfRule type="cellIs" dxfId="657" priority="475" operator="equal">
      <formula>#REF!</formula>
    </cfRule>
    <cfRule type="cellIs" dxfId="656" priority="473" operator="equal">
      <formula>#REF!</formula>
    </cfRule>
    <cfRule type="cellIs" dxfId="655" priority="472" operator="equal">
      <formula>#REF!</formula>
    </cfRule>
    <cfRule type="cellIs" dxfId="654" priority="470" operator="equal">
      <formula>#REF!</formula>
    </cfRule>
    <cfRule type="cellIs" dxfId="653" priority="468" operator="equal">
      <formula>#REF!</formula>
    </cfRule>
    <cfRule type="cellIs" dxfId="652" priority="469" operator="equal">
      <formula>#REF!</formula>
    </cfRule>
    <cfRule type="cellIs" dxfId="651" priority="467" operator="equal">
      <formula>#REF!</formula>
    </cfRule>
  </conditionalFormatting>
  <conditionalFormatting sqref="E17 E19 E21 E23 E25 E27 E29 E31 E33 E1 E35:E37 E42:E1048576">
    <cfRule type="cellIs" dxfId="650" priority="983" operator="equal">
      <formula>#REF!</formula>
    </cfRule>
  </conditionalFormatting>
  <conditionalFormatting sqref="E17">
    <cfRule type="cellIs" dxfId="649" priority="463" operator="equal">
      <formula>#REF!</formula>
    </cfRule>
    <cfRule type="cellIs" dxfId="648" priority="453" operator="equal">
      <formula>#REF!</formula>
    </cfRule>
    <cfRule type="cellIs" dxfId="647" priority="454" operator="equal">
      <formula>#REF!</formula>
    </cfRule>
    <cfRule type="cellIs" dxfId="646" priority="455" operator="equal">
      <formula>#REF!</formula>
    </cfRule>
    <cfRule type="cellIs" dxfId="645" priority="456" operator="equal">
      <formula>#REF!</formula>
    </cfRule>
    <cfRule type="cellIs" dxfId="644" priority="458" operator="equal">
      <formula>#REF!</formula>
    </cfRule>
    <cfRule type="cellIs" dxfId="643" priority="459" operator="equal">
      <formula>#REF!</formula>
    </cfRule>
    <cfRule type="cellIs" dxfId="642" priority="460" operator="equal">
      <formula>#REF!</formula>
    </cfRule>
    <cfRule type="cellIs" dxfId="641" priority="461" operator="equal">
      <formula>#REF!</formula>
    </cfRule>
    <cfRule type="cellIs" dxfId="640" priority="462" operator="equal">
      <formula>#REF!</formula>
    </cfRule>
  </conditionalFormatting>
  <conditionalFormatting sqref="E19">
    <cfRule type="cellIs" dxfId="639" priority="441" operator="equal">
      <formula>#REF!</formula>
    </cfRule>
    <cfRule type="cellIs" dxfId="638" priority="440" operator="equal">
      <formula>#REF!</formula>
    </cfRule>
    <cfRule type="cellIs" dxfId="637" priority="439" operator="equal">
      <formula>#REF!</formula>
    </cfRule>
    <cfRule type="cellIs" dxfId="636" priority="444" operator="equal">
      <formula>#REF!</formula>
    </cfRule>
    <cfRule type="cellIs" dxfId="635" priority="449" operator="equal">
      <formula>#REF!</formula>
    </cfRule>
    <cfRule type="cellIs" dxfId="634" priority="448" operator="equal">
      <formula>#REF!</formula>
    </cfRule>
    <cfRule type="cellIs" dxfId="633" priority="447" operator="equal">
      <formula>#REF!</formula>
    </cfRule>
    <cfRule type="cellIs" dxfId="632" priority="446" operator="equal">
      <formula>#REF!</formula>
    </cfRule>
    <cfRule type="cellIs" dxfId="631" priority="445" operator="equal">
      <formula>#REF!</formula>
    </cfRule>
    <cfRule type="cellIs" dxfId="630" priority="442" operator="equal">
      <formula>#REF!</formula>
    </cfRule>
  </conditionalFormatting>
  <conditionalFormatting sqref="E21">
    <cfRule type="cellIs" dxfId="629" priority="428" operator="equal">
      <formula>#REF!</formula>
    </cfRule>
    <cfRule type="cellIs" dxfId="628" priority="434" operator="equal">
      <formula>#REF!</formula>
    </cfRule>
    <cfRule type="cellIs" dxfId="627" priority="435" operator="equal">
      <formula>#REF!</formula>
    </cfRule>
    <cfRule type="cellIs" dxfId="626" priority="425" operator="equal">
      <formula>#REF!</formula>
    </cfRule>
    <cfRule type="cellIs" dxfId="625" priority="426" operator="equal">
      <formula>#REF!</formula>
    </cfRule>
    <cfRule type="cellIs" dxfId="624" priority="427" operator="equal">
      <formula>#REF!</formula>
    </cfRule>
    <cfRule type="cellIs" dxfId="623" priority="430" operator="equal">
      <formula>#REF!</formula>
    </cfRule>
    <cfRule type="cellIs" dxfId="622" priority="431" operator="equal">
      <formula>#REF!</formula>
    </cfRule>
    <cfRule type="cellIs" dxfId="621" priority="433" operator="equal">
      <formula>#REF!</formula>
    </cfRule>
    <cfRule type="cellIs" dxfId="620" priority="432" operator="equal">
      <formula>#REF!</formula>
    </cfRule>
  </conditionalFormatting>
  <conditionalFormatting sqref="E23">
    <cfRule type="cellIs" dxfId="619" priority="421" operator="equal">
      <formula>#REF!</formula>
    </cfRule>
    <cfRule type="cellIs" dxfId="618" priority="414" operator="equal">
      <formula>#REF!</formula>
    </cfRule>
    <cfRule type="cellIs" dxfId="617" priority="417" operator="equal">
      <formula>#REF!</formula>
    </cfRule>
    <cfRule type="cellIs" dxfId="616" priority="418" operator="equal">
      <formula>#REF!</formula>
    </cfRule>
    <cfRule type="cellIs" dxfId="615" priority="419" operator="equal">
      <formula>#REF!</formula>
    </cfRule>
    <cfRule type="cellIs" dxfId="614" priority="412" operator="equal">
      <formula>#REF!</formula>
    </cfRule>
    <cfRule type="cellIs" dxfId="613" priority="420" operator="equal">
      <formula>#REF!</formula>
    </cfRule>
    <cfRule type="cellIs" dxfId="612" priority="413" operator="equal">
      <formula>#REF!</formula>
    </cfRule>
    <cfRule type="cellIs" dxfId="611" priority="416" operator="equal">
      <formula>#REF!</formula>
    </cfRule>
    <cfRule type="cellIs" dxfId="610" priority="411" operator="equal">
      <formula>#REF!</formula>
    </cfRule>
  </conditionalFormatting>
  <conditionalFormatting sqref="E25">
    <cfRule type="cellIs" dxfId="609" priority="406" operator="equal">
      <formula>#REF!</formula>
    </cfRule>
    <cfRule type="cellIs" dxfId="608" priority="407" operator="equal">
      <formula>#REF!</formula>
    </cfRule>
    <cfRule type="cellIs" dxfId="607" priority="405" operator="equal">
      <formula>#REF!</formula>
    </cfRule>
    <cfRule type="cellIs" dxfId="606" priority="403" operator="equal">
      <formula>#REF!</formula>
    </cfRule>
    <cfRule type="cellIs" dxfId="605" priority="402" operator="equal">
      <formula>#REF!</formula>
    </cfRule>
    <cfRule type="cellIs" dxfId="604" priority="400" operator="equal">
      <formula>#REF!</formula>
    </cfRule>
    <cfRule type="cellIs" dxfId="603" priority="399" operator="equal">
      <formula>#REF!</formula>
    </cfRule>
    <cfRule type="cellIs" dxfId="602" priority="398" operator="equal">
      <formula>#REF!</formula>
    </cfRule>
    <cfRule type="cellIs" dxfId="601" priority="397" operator="equal">
      <formula>#REF!</formula>
    </cfRule>
    <cfRule type="cellIs" dxfId="600" priority="404" operator="equal">
      <formula>#REF!</formula>
    </cfRule>
  </conditionalFormatting>
  <conditionalFormatting sqref="E27">
    <cfRule type="cellIs" dxfId="599" priority="391" operator="equal">
      <formula>#REF!</formula>
    </cfRule>
    <cfRule type="cellIs" dxfId="598" priority="392" operator="equal">
      <formula>#REF!</formula>
    </cfRule>
    <cfRule type="cellIs" dxfId="597" priority="384" operator="equal">
      <formula>#REF!</formula>
    </cfRule>
    <cfRule type="cellIs" dxfId="596" priority="389" operator="equal">
      <formula>#REF!</formula>
    </cfRule>
    <cfRule type="cellIs" dxfId="595" priority="385" operator="equal">
      <formula>#REF!</formula>
    </cfRule>
    <cfRule type="cellIs" dxfId="594" priority="386" operator="equal">
      <formula>#REF!</formula>
    </cfRule>
    <cfRule type="cellIs" dxfId="593" priority="388" operator="equal">
      <formula>#REF!</formula>
    </cfRule>
    <cfRule type="cellIs" dxfId="592" priority="390" operator="equal">
      <formula>#REF!</formula>
    </cfRule>
    <cfRule type="cellIs" dxfId="591" priority="383" operator="equal">
      <formula>#REF!</formula>
    </cfRule>
    <cfRule type="cellIs" dxfId="590" priority="393" operator="equal">
      <formula>#REF!</formula>
    </cfRule>
  </conditionalFormatting>
  <conditionalFormatting sqref="E29">
    <cfRule type="cellIs" dxfId="589" priority="378" operator="equal">
      <formula>#REF!</formula>
    </cfRule>
    <cfRule type="cellIs" dxfId="588" priority="377" operator="equal">
      <formula>#REF!</formula>
    </cfRule>
    <cfRule type="cellIs" dxfId="587" priority="376" operator="equal">
      <formula>#REF!</formula>
    </cfRule>
    <cfRule type="cellIs" dxfId="586" priority="379" operator="equal">
      <formula>#REF!</formula>
    </cfRule>
    <cfRule type="cellIs" dxfId="585" priority="374" operator="equal">
      <formula>#REF!</formula>
    </cfRule>
    <cfRule type="cellIs" dxfId="584" priority="375" operator="equal">
      <formula>#REF!</formula>
    </cfRule>
    <cfRule type="cellIs" dxfId="583" priority="372" operator="equal">
      <formula>#REF!</formula>
    </cfRule>
    <cfRule type="cellIs" dxfId="582" priority="371" operator="equal">
      <formula>#REF!</formula>
    </cfRule>
    <cfRule type="cellIs" dxfId="581" priority="370" operator="equal">
      <formula>#REF!</formula>
    </cfRule>
    <cfRule type="cellIs" dxfId="580" priority="369" operator="equal">
      <formula>#REF!</formula>
    </cfRule>
  </conditionalFormatting>
  <conditionalFormatting sqref="E31">
    <cfRule type="cellIs" dxfId="579" priority="357" operator="equal">
      <formula>#REF!</formula>
    </cfRule>
    <cfRule type="cellIs" dxfId="578" priority="358" operator="equal">
      <formula>#REF!</formula>
    </cfRule>
    <cfRule type="cellIs" dxfId="577" priority="360" operator="equal">
      <formula>#REF!</formula>
    </cfRule>
    <cfRule type="cellIs" dxfId="576" priority="361" operator="equal">
      <formula>#REF!</formula>
    </cfRule>
    <cfRule type="cellIs" dxfId="575" priority="356" operator="equal">
      <formula>#REF!</formula>
    </cfRule>
    <cfRule type="cellIs" dxfId="574" priority="362" operator="equal">
      <formula>#REF!</formula>
    </cfRule>
    <cfRule type="cellIs" dxfId="573" priority="363" operator="equal">
      <formula>#REF!</formula>
    </cfRule>
    <cfRule type="cellIs" dxfId="572" priority="364" operator="equal">
      <formula>#REF!</formula>
    </cfRule>
    <cfRule type="cellIs" dxfId="571" priority="365" operator="equal">
      <formula>#REF!</formula>
    </cfRule>
    <cfRule type="cellIs" dxfId="570" priority="355" operator="equal">
      <formula>#REF!</formula>
    </cfRule>
  </conditionalFormatting>
  <conditionalFormatting sqref="E33">
    <cfRule type="cellIs" dxfId="569" priority="350" operator="equal">
      <formula>#REF!</formula>
    </cfRule>
    <cfRule type="cellIs" dxfId="568" priority="344" operator="equal">
      <formula>#REF!</formula>
    </cfRule>
    <cfRule type="cellIs" dxfId="567" priority="349" operator="equal">
      <formula>#REF!</formula>
    </cfRule>
    <cfRule type="cellIs" dxfId="566" priority="348" operator="equal">
      <formula>#REF!</formula>
    </cfRule>
    <cfRule type="cellIs" dxfId="565" priority="341" operator="equal">
      <formula>#REF!</formula>
    </cfRule>
    <cfRule type="cellIs" dxfId="564" priority="351" operator="equal">
      <formula>#REF!</formula>
    </cfRule>
    <cfRule type="cellIs" dxfId="563" priority="347" operator="equal">
      <formula>#REF!</formula>
    </cfRule>
    <cfRule type="cellIs" dxfId="562" priority="346" operator="equal">
      <formula>#REF!</formula>
    </cfRule>
    <cfRule type="cellIs" dxfId="561" priority="343" operator="equal">
      <formula>#REF!</formula>
    </cfRule>
    <cfRule type="cellIs" dxfId="560" priority="342" operator="equal">
      <formula>#REF!</formula>
    </cfRule>
  </conditionalFormatting>
  <conditionalFormatting sqref="E5:F5">
    <cfRule type="cellIs" dxfId="559" priority="812" operator="equal">
      <formula>#REF!</formula>
    </cfRule>
  </conditionalFormatting>
  <conditionalFormatting sqref="E3:G3">
    <cfRule type="cellIs" dxfId="558" priority="842" operator="equal">
      <formula>#REF!</formula>
    </cfRule>
  </conditionalFormatting>
  <conditionalFormatting sqref="E11:G11">
    <cfRule type="cellIs" dxfId="557" priority="572" operator="equal">
      <formula>#REF!</formula>
    </cfRule>
    <cfRule type="cellIs" dxfId="556" priority="571" operator="equal">
      <formula>#REF!</formula>
    </cfRule>
    <cfRule type="cellIs" dxfId="555" priority="564" operator="equal">
      <formula>#REF!</formula>
    </cfRule>
  </conditionalFormatting>
  <conditionalFormatting sqref="F5">
    <cfRule type="cellIs" dxfId="554" priority="801" operator="equal">
      <formula>#REF!</formula>
    </cfRule>
    <cfRule type="cellIs" dxfId="553" priority="802" operator="equal">
      <formula>#REF!</formula>
    </cfRule>
    <cfRule type="cellIs" dxfId="552" priority="803" operator="equal">
      <formula>#REF!</formula>
    </cfRule>
    <cfRule type="cellIs" dxfId="551" priority="804" operator="equal">
      <formula>#REF!</formula>
    </cfRule>
    <cfRule type="cellIs" dxfId="550" priority="805" operator="equal">
      <formula>#REF!</formula>
    </cfRule>
    <cfRule type="cellIs" dxfId="549" priority="806" operator="equal">
      <formula>#REF!</formula>
    </cfRule>
    <cfRule type="cellIs" dxfId="548" priority="807" operator="equal">
      <formula>#REF!</formula>
    </cfRule>
    <cfRule type="cellIs" dxfId="547" priority="808" operator="equal">
      <formula>#REF!</formula>
    </cfRule>
    <cfRule type="cellIs" dxfId="546" priority="809" operator="equal">
      <formula>#REF!</formula>
    </cfRule>
    <cfRule type="cellIs" dxfId="545" priority="811" operator="equal">
      <formula>#REF!</formula>
    </cfRule>
    <cfRule type="cellIs" dxfId="544" priority="813" operator="equal">
      <formula>#REF!</formula>
    </cfRule>
    <cfRule type="cellIs" dxfId="543" priority="800" operator="equal">
      <formula>#REF!</formula>
    </cfRule>
    <cfRule type="cellIs" dxfId="542" priority="810" operator="equal">
      <formula>#REF!</formula>
    </cfRule>
  </conditionalFormatting>
  <conditionalFormatting sqref="F3:G3">
    <cfRule type="cellIs" dxfId="541" priority="843" operator="equal">
      <formula>#REF!</formula>
    </cfRule>
    <cfRule type="cellIs" dxfId="540" priority="830" operator="equal">
      <formula>#REF!</formula>
    </cfRule>
    <cfRule type="cellIs" dxfId="539" priority="831" operator="equal">
      <formula>#REF!</formula>
    </cfRule>
    <cfRule type="cellIs" dxfId="538" priority="832" operator="equal">
      <formula>#REF!</formula>
    </cfRule>
    <cfRule type="cellIs" dxfId="537" priority="837" operator="equal">
      <formula>#REF!</formula>
    </cfRule>
    <cfRule type="cellIs" dxfId="536" priority="836" operator="equal">
      <formula>#REF!</formula>
    </cfRule>
    <cfRule type="cellIs" dxfId="535" priority="833" operator="equal">
      <formula>#REF!</formula>
    </cfRule>
    <cfRule type="cellIs" dxfId="534" priority="834" operator="equal">
      <formula>#REF!</formula>
    </cfRule>
    <cfRule type="cellIs" dxfId="533" priority="835" operator="equal">
      <formula>#REF!</formula>
    </cfRule>
    <cfRule type="cellIs" dxfId="532" priority="838" operator="equal">
      <formula>#REF!</formula>
    </cfRule>
    <cfRule type="cellIs" dxfId="531" priority="839" operator="equal">
      <formula>#REF!</formula>
    </cfRule>
    <cfRule type="cellIs" dxfId="530" priority="840" operator="equal">
      <formula>#REF!</formula>
    </cfRule>
    <cfRule type="cellIs" dxfId="529" priority="841" operator="equal">
      <formula>#REF!</formula>
    </cfRule>
  </conditionalFormatting>
  <conditionalFormatting sqref="F5:G5">
    <cfRule type="cellIs" dxfId="528" priority="797" operator="equal">
      <formula>#REF!</formula>
    </cfRule>
  </conditionalFormatting>
  <conditionalFormatting sqref="F11:G11">
    <cfRule type="cellIs" dxfId="527" priority="562" operator="equal">
      <formula>#REF!</formula>
    </cfRule>
    <cfRule type="cellIs" dxfId="526" priority="570" operator="equal">
      <formula>#REF!</formula>
    </cfRule>
    <cfRule type="cellIs" dxfId="525" priority="560" operator="equal">
      <formula>#REF!</formula>
    </cfRule>
    <cfRule type="cellIs" dxfId="524" priority="569" operator="equal">
      <formula>#REF!</formula>
    </cfRule>
    <cfRule type="cellIs" dxfId="523" priority="573" operator="equal">
      <formula>#REF!</formula>
    </cfRule>
    <cfRule type="cellIs" dxfId="522" priority="567" operator="equal">
      <formula>#REF!</formula>
    </cfRule>
    <cfRule type="cellIs" dxfId="521" priority="561" operator="equal">
      <formula>#REF!</formula>
    </cfRule>
    <cfRule type="cellIs" dxfId="520" priority="566" operator="equal">
      <formula>#REF!</formula>
    </cfRule>
    <cfRule type="cellIs" dxfId="519" priority="568" operator="equal">
      <formula>#REF!</formula>
    </cfRule>
    <cfRule type="cellIs" dxfId="518" priority="574" operator="equal">
      <formula>#REF!</formula>
    </cfRule>
    <cfRule type="cellIs" dxfId="517" priority="563" operator="equal">
      <formula>#REF!</formula>
    </cfRule>
    <cfRule type="cellIs" dxfId="516" priority="565" operator="equal">
      <formula>#REF!</formula>
    </cfRule>
  </conditionalFormatting>
  <conditionalFormatting sqref="F17:G17">
    <cfRule type="cellIs" dxfId="515" priority="175" operator="equal">
      <formula>#REF!</formula>
    </cfRule>
    <cfRule type="cellIs" dxfId="514" priority="174" operator="equal">
      <formula>#REF!</formula>
    </cfRule>
    <cfRule type="cellIs" dxfId="513" priority="173" operator="equal">
      <formula>#REF!</formula>
    </cfRule>
    <cfRule type="cellIs" dxfId="512" priority="172" operator="equal">
      <formula>#REF!</formula>
    </cfRule>
    <cfRule type="cellIs" dxfId="511" priority="171" operator="equal">
      <formula>#REF!</formula>
    </cfRule>
    <cfRule type="cellIs" dxfId="510" priority="170" operator="equal">
      <formula>#REF!</formula>
    </cfRule>
    <cfRule type="cellIs" dxfId="509" priority="169" operator="equal">
      <formula>#REF!</formula>
    </cfRule>
    <cfRule type="cellIs" dxfId="508" priority="167" operator="equal">
      <formula>#REF!</formula>
    </cfRule>
    <cfRule type="cellIs" dxfId="507" priority="176" operator="equal">
      <formula>#REF!</formula>
    </cfRule>
    <cfRule type="cellIs" dxfId="506" priority="181" operator="equal">
      <formula>#REF!</formula>
    </cfRule>
    <cfRule type="cellIs" dxfId="505" priority="180" operator="equal">
      <formula>#REF!</formula>
    </cfRule>
    <cfRule type="cellIs" dxfId="504" priority="179" operator="equal">
      <formula>#REF!</formula>
    </cfRule>
    <cfRule type="cellIs" dxfId="503" priority="178" operator="equal">
      <formula>#REF!</formula>
    </cfRule>
    <cfRule type="cellIs" dxfId="502" priority="177" operator="equal">
      <formula>#REF!</formula>
    </cfRule>
    <cfRule type="cellIs" dxfId="501" priority="168" operator="equal">
      <formula>#REF!</formula>
    </cfRule>
  </conditionalFormatting>
  <conditionalFormatting sqref="F19:G19">
    <cfRule type="cellIs" dxfId="500" priority="132" operator="equal">
      <formula>#REF!</formula>
    </cfRule>
    <cfRule type="cellIs" dxfId="499" priority="133" operator="equal">
      <formula>#REF!</formula>
    </cfRule>
    <cfRule type="cellIs" dxfId="498" priority="134" operator="equal">
      <formula>#REF!</formula>
    </cfRule>
    <cfRule type="cellIs" dxfId="497" priority="135" operator="equal">
      <formula>#REF!</formula>
    </cfRule>
    <cfRule type="cellIs" dxfId="496" priority="136" operator="equal">
      <formula>#REF!</formula>
    </cfRule>
    <cfRule type="cellIs" dxfId="495" priority="129" operator="equal">
      <formula>#REF!</formula>
    </cfRule>
    <cfRule type="cellIs" dxfId="494" priority="131" operator="equal">
      <formula>#REF!</formula>
    </cfRule>
    <cfRule type="cellIs" dxfId="493" priority="123" operator="equal">
      <formula>#REF!</formula>
    </cfRule>
    <cfRule type="cellIs" dxfId="492" priority="130" operator="equal">
      <formula>#REF!</formula>
    </cfRule>
    <cfRule type="cellIs" dxfId="491" priority="122" operator="equal">
      <formula>#REF!</formula>
    </cfRule>
    <cfRule type="cellIs" dxfId="490" priority="124" operator="equal">
      <formula>#REF!</formula>
    </cfRule>
    <cfRule type="cellIs" dxfId="489" priority="125" operator="equal">
      <formula>#REF!</formula>
    </cfRule>
    <cfRule type="cellIs" dxfId="488" priority="126" operator="equal">
      <formula>#REF!</formula>
    </cfRule>
    <cfRule type="cellIs" dxfId="487" priority="127" operator="equal">
      <formula>#REF!</formula>
    </cfRule>
    <cfRule type="cellIs" dxfId="486" priority="128" operator="equal">
      <formula>#REF!</formula>
    </cfRule>
  </conditionalFormatting>
  <conditionalFormatting sqref="F25:G25">
    <cfRule type="cellIs" dxfId="485" priority="79" operator="equal">
      <formula>#REF!</formula>
    </cfRule>
    <cfRule type="cellIs" dxfId="484" priority="80" operator="equal">
      <formula>#REF!</formula>
    </cfRule>
    <cfRule type="cellIs" dxfId="483" priority="77" operator="equal">
      <formula>#REF!</formula>
    </cfRule>
    <cfRule type="cellIs" dxfId="482" priority="81" operator="equal">
      <formula>#REF!</formula>
    </cfRule>
    <cfRule type="cellIs" dxfId="481" priority="82" operator="equal">
      <formula>#REF!</formula>
    </cfRule>
    <cfRule type="cellIs" dxfId="480" priority="83" operator="equal">
      <formula>#REF!</formula>
    </cfRule>
    <cfRule type="cellIs" dxfId="479" priority="84" operator="equal">
      <formula>#REF!</formula>
    </cfRule>
    <cfRule type="cellIs" dxfId="478" priority="85" operator="equal">
      <formula>#REF!</formula>
    </cfRule>
    <cfRule type="cellIs" dxfId="477" priority="86" operator="equal">
      <formula>#REF!</formula>
    </cfRule>
    <cfRule type="cellIs" dxfId="476" priority="87" operator="equal">
      <formula>#REF!</formula>
    </cfRule>
    <cfRule type="cellIs" dxfId="475" priority="88" operator="equal">
      <formula>#REF!</formula>
    </cfRule>
    <cfRule type="cellIs" dxfId="474" priority="89" operator="equal">
      <formula>#REF!</formula>
    </cfRule>
    <cfRule type="cellIs" dxfId="473" priority="90" operator="equal">
      <formula>#REF!</formula>
    </cfRule>
    <cfRule type="cellIs" dxfId="472" priority="91" operator="equal">
      <formula>#REF!</formula>
    </cfRule>
    <cfRule type="cellIs" dxfId="471" priority="78" operator="equal">
      <formula>#REF!</formula>
    </cfRule>
  </conditionalFormatting>
  <conditionalFormatting sqref="F3:H3">
    <cfRule type="cellIs" dxfId="470" priority="827" operator="equal">
      <formula>#REF!</formula>
    </cfRule>
  </conditionalFormatting>
  <conditionalFormatting sqref="G5">
    <cfRule type="cellIs" dxfId="469" priority="789" operator="equal">
      <formula>#REF!</formula>
    </cfRule>
    <cfRule type="cellIs" dxfId="468" priority="788" operator="equal">
      <formula>#REF!</formula>
    </cfRule>
    <cfRule type="cellIs" dxfId="467" priority="787" operator="equal">
      <formula>#REF!</formula>
    </cfRule>
    <cfRule type="cellIs" dxfId="466" priority="786" operator="equal">
      <formula>#REF!</formula>
    </cfRule>
    <cfRule type="cellIs" dxfId="465" priority="784" operator="equal">
      <formula>#REF!</formula>
    </cfRule>
    <cfRule type="cellIs" dxfId="464" priority="796" operator="equal">
      <formula>#REF!</formula>
    </cfRule>
    <cfRule type="cellIs" dxfId="463" priority="785" operator="equal">
      <formula>#REF!</formula>
    </cfRule>
    <cfRule type="cellIs" dxfId="462" priority="798" operator="equal">
      <formula>#REF!</formula>
    </cfRule>
    <cfRule type="cellIs" dxfId="461" priority="795" operator="equal">
      <formula>#REF!</formula>
    </cfRule>
    <cfRule type="cellIs" dxfId="460" priority="794" operator="equal">
      <formula>#REF!</formula>
    </cfRule>
    <cfRule type="cellIs" dxfId="459" priority="793" operator="equal">
      <formula>#REF!</formula>
    </cfRule>
    <cfRule type="cellIs" dxfId="458" priority="792" operator="equal">
      <formula>#REF!</formula>
    </cfRule>
    <cfRule type="cellIs" dxfId="457" priority="791" operator="equal">
      <formula>#REF!</formula>
    </cfRule>
    <cfRule type="cellIs" dxfId="456" priority="790" operator="equal">
      <formula>#REF!</formula>
    </cfRule>
  </conditionalFormatting>
  <conditionalFormatting sqref="G7">
    <cfRule type="cellIs" dxfId="455" priority="714" operator="equal">
      <formula>#REF!</formula>
    </cfRule>
    <cfRule type="cellIs" dxfId="454" priority="723" operator="equal">
      <formula>#REF!</formula>
    </cfRule>
    <cfRule type="cellIs" dxfId="453" priority="722" operator="equal">
      <formula>#REF!</formula>
    </cfRule>
    <cfRule type="cellIs" dxfId="452" priority="715" operator="equal">
      <formula>#REF!</formula>
    </cfRule>
    <cfRule type="cellIs" dxfId="451" priority="721" operator="equal">
      <formula>#REF!</formula>
    </cfRule>
    <cfRule type="cellIs" dxfId="450" priority="720" operator="equal">
      <formula>#REF!</formula>
    </cfRule>
    <cfRule type="cellIs" dxfId="449" priority="719" operator="equal">
      <formula>#REF!</formula>
    </cfRule>
    <cfRule type="cellIs" dxfId="448" priority="718" operator="equal">
      <formula>#REF!</formula>
    </cfRule>
    <cfRule type="cellIs" dxfId="447" priority="709" operator="equal">
      <formula>#REF!</formula>
    </cfRule>
    <cfRule type="cellIs" dxfId="446" priority="716" operator="equal">
      <formula>#REF!</formula>
    </cfRule>
    <cfRule type="cellIs" dxfId="445" priority="712" operator="equal">
      <formula>#REF!</formula>
    </cfRule>
    <cfRule type="cellIs" dxfId="444" priority="717" operator="equal">
      <formula>#REF!</formula>
    </cfRule>
    <cfRule type="cellIs" dxfId="443" priority="713" operator="equal">
      <formula>#REF!</formula>
    </cfRule>
    <cfRule type="cellIs" dxfId="442" priority="711" operator="equal">
      <formula>#REF!</formula>
    </cfRule>
    <cfRule type="cellIs" dxfId="441" priority="710" operator="equal">
      <formula>#REF!</formula>
    </cfRule>
  </conditionalFormatting>
  <conditionalFormatting sqref="G9">
    <cfRule type="cellIs" dxfId="440" priority="585" operator="equal">
      <formula>#REF!</formula>
    </cfRule>
    <cfRule type="cellIs" dxfId="439" priority="586" operator="equal">
      <formula>#REF!</formula>
    </cfRule>
    <cfRule type="cellIs" dxfId="438" priority="587" operator="equal">
      <formula>#REF!</formula>
    </cfRule>
    <cfRule type="cellIs" dxfId="437" priority="589" operator="equal">
      <formula>#REF!</formula>
    </cfRule>
    <cfRule type="cellIs" dxfId="436" priority="588" operator="equal">
      <formula>#REF!</formula>
    </cfRule>
    <cfRule type="cellIs" dxfId="435" priority="578" operator="equal">
      <formula>#REF!</formula>
    </cfRule>
    <cfRule type="cellIs" dxfId="434" priority="575" operator="equal">
      <formula>#REF!</formula>
    </cfRule>
    <cfRule type="cellIs" dxfId="433" priority="576" operator="equal">
      <formula>#REF!</formula>
    </cfRule>
    <cfRule type="cellIs" dxfId="432" priority="577" operator="equal">
      <formula>#REF!</formula>
    </cfRule>
    <cfRule type="cellIs" dxfId="431" priority="579" operator="equal">
      <formula>#REF!</formula>
    </cfRule>
    <cfRule type="cellIs" dxfId="430" priority="580" operator="equal">
      <formula>#REF!</formula>
    </cfRule>
    <cfRule type="cellIs" dxfId="429" priority="581" operator="equal">
      <formula>#REF!</formula>
    </cfRule>
    <cfRule type="cellIs" dxfId="428" priority="582" operator="equal">
      <formula>#REF!</formula>
    </cfRule>
    <cfRule type="cellIs" dxfId="427" priority="583" operator="equal">
      <formula>#REF!</formula>
    </cfRule>
    <cfRule type="cellIs" dxfId="426" priority="584" operator="equal">
      <formula>#REF!</formula>
    </cfRule>
  </conditionalFormatting>
  <conditionalFormatting sqref="G13">
    <cfRule type="cellIs" dxfId="425" priority="494" operator="equal">
      <formula>#REF!</formula>
    </cfRule>
    <cfRule type="cellIs" dxfId="424" priority="495" operator="equal">
      <formula>#REF!</formula>
    </cfRule>
    <cfRule type="cellIs" dxfId="423" priority="496" operator="equal">
      <formula>#REF!</formula>
    </cfRule>
    <cfRule type="cellIs" dxfId="422" priority="497" operator="equal">
      <formula>#REF!</formula>
    </cfRule>
    <cfRule type="cellIs" dxfId="421" priority="505" operator="equal">
      <formula>#REF!</formula>
    </cfRule>
    <cfRule type="cellIs" dxfId="420" priority="504" operator="equal">
      <formula>#REF!</formula>
    </cfRule>
    <cfRule type="cellIs" dxfId="419" priority="498" operator="equal">
      <formula>#REF!</formula>
    </cfRule>
    <cfRule type="cellIs" dxfId="418" priority="503" operator="equal">
      <formula>#REF!</formula>
    </cfRule>
    <cfRule type="cellIs" dxfId="417" priority="502" operator="equal">
      <formula>#REF!</formula>
    </cfRule>
    <cfRule type="cellIs" dxfId="416" priority="501" operator="equal">
      <formula>#REF!</formula>
    </cfRule>
    <cfRule type="cellIs" dxfId="415" priority="500" operator="equal">
      <formula>#REF!</formula>
    </cfRule>
    <cfRule type="cellIs" dxfId="414" priority="499" operator="equal">
      <formula>#REF!</formula>
    </cfRule>
    <cfRule type="cellIs" dxfId="413" priority="507" operator="equal">
      <formula>#REF!</formula>
    </cfRule>
    <cfRule type="cellIs" dxfId="412" priority="493" operator="equal">
      <formula>#REF!</formula>
    </cfRule>
    <cfRule type="cellIs" dxfId="411" priority="506" operator="equal">
      <formula>#REF!</formula>
    </cfRule>
  </conditionalFormatting>
  <conditionalFormatting sqref="H3">
    <cfRule type="cellIs" dxfId="410" priority="825" operator="equal">
      <formula>#REF!</formula>
    </cfRule>
    <cfRule type="cellIs" dxfId="409" priority="826" operator="equal">
      <formula>#REF!</formula>
    </cfRule>
    <cfRule type="cellIs" dxfId="408" priority="817" operator="equal">
      <formula>#REF!</formula>
    </cfRule>
    <cfRule type="cellIs" dxfId="407" priority="828" operator="equal">
      <formula>#REF!</formula>
    </cfRule>
    <cfRule type="cellIs" dxfId="406" priority="819" operator="equal">
      <formula>#REF!</formula>
    </cfRule>
    <cfRule type="cellIs" dxfId="405" priority="818" operator="equal">
      <formula>#REF!</formula>
    </cfRule>
    <cfRule type="cellIs" dxfId="404" priority="820" operator="equal">
      <formula>#REF!</formula>
    </cfRule>
    <cfRule type="cellIs" dxfId="403" priority="821" operator="equal">
      <formula>#REF!</formula>
    </cfRule>
    <cfRule type="cellIs" dxfId="402" priority="822" operator="equal">
      <formula>#REF!</formula>
    </cfRule>
    <cfRule type="cellIs" dxfId="401" priority="823" operator="equal">
      <formula>#REF!</formula>
    </cfRule>
    <cfRule type="cellIs" dxfId="400" priority="824" operator="equal">
      <formula>#REF!</formula>
    </cfRule>
    <cfRule type="cellIs" dxfId="399" priority="816" operator="equal">
      <formula>#REF!</formula>
    </cfRule>
    <cfRule type="cellIs" dxfId="398" priority="814" operator="equal">
      <formula>#REF!</formula>
    </cfRule>
    <cfRule type="cellIs" dxfId="397" priority="815" operator="equal">
      <formula>#REF!</formula>
    </cfRule>
  </conditionalFormatting>
  <conditionalFormatting sqref="H1:J1 J5 I9 I15:J16">
    <cfRule type="cellIs" dxfId="396" priority="957" operator="equal">
      <formula>#REF!</formula>
    </cfRule>
    <cfRule type="cellIs" dxfId="395" priority="958" operator="equal">
      <formula>#REF!</formula>
    </cfRule>
    <cfRule type="cellIs" dxfId="394" priority="959" operator="equal">
      <formula>#REF!</formula>
    </cfRule>
    <cfRule type="cellIs" dxfId="393" priority="960" operator="equal">
      <formula>#REF!</formula>
    </cfRule>
    <cfRule type="cellIs" dxfId="392" priority="948" operator="equal">
      <formula>#REF!</formula>
    </cfRule>
    <cfRule type="cellIs" dxfId="391" priority="949" operator="equal">
      <formula>#REF!</formula>
    </cfRule>
  </conditionalFormatting>
  <conditionalFormatting sqref="H1:J1 J5 I9">
    <cfRule type="cellIs" dxfId="390" priority="947" operator="equal">
      <formula>#REF!</formula>
    </cfRule>
  </conditionalFormatting>
  <conditionalFormatting sqref="H1:J1 J5">
    <cfRule type="cellIs" dxfId="389" priority="954" operator="equal">
      <formula>#REF!</formula>
    </cfRule>
    <cfRule type="cellIs" dxfId="388" priority="955" operator="equal">
      <formula>#REF!</formula>
    </cfRule>
    <cfRule type="cellIs" dxfId="387" priority="950" operator="equal">
      <formula>#REF!</formula>
    </cfRule>
    <cfRule type="cellIs" dxfId="386" priority="951" operator="equal">
      <formula>#REF!</formula>
    </cfRule>
    <cfRule type="cellIs" dxfId="385" priority="953" operator="equal">
      <formula>#REF!</formula>
    </cfRule>
    <cfRule type="cellIs" dxfId="384" priority="956" operator="equal">
      <formula>#REF!</formula>
    </cfRule>
    <cfRule type="cellIs" dxfId="383" priority="952" operator="equal">
      <formula>#REF!</formula>
    </cfRule>
  </conditionalFormatting>
  <conditionalFormatting sqref="H1:L1 J5:K5 I15:K16">
    <cfRule type="cellIs" dxfId="382" priority="930" operator="equal">
      <formula>#REF!</formula>
    </cfRule>
  </conditionalFormatting>
  <conditionalFormatting sqref="I9 I15:J16">
    <cfRule type="cellIs" dxfId="381" priority="961" operator="equal">
      <formula>#REF!</formula>
    </cfRule>
    <cfRule type="cellIs" dxfId="380" priority="966" operator="equal">
      <formula>#REF!</formula>
    </cfRule>
    <cfRule type="cellIs" dxfId="379" priority="965" operator="equal">
      <formula>#REF!</formula>
    </cfRule>
    <cfRule type="cellIs" dxfId="378" priority="963" operator="equal">
      <formula>#REF!</formula>
    </cfRule>
    <cfRule type="cellIs" dxfId="377" priority="962" operator="equal">
      <formula>#REF!</formula>
    </cfRule>
    <cfRule type="cellIs" dxfId="376" priority="967" operator="equal">
      <formula>#REF!</formula>
    </cfRule>
    <cfRule type="cellIs" dxfId="375" priority="964" operator="equal">
      <formula>#REF!</formula>
    </cfRule>
  </conditionalFormatting>
  <conditionalFormatting sqref="I9:K9">
    <cfRule type="cellIs" dxfId="374" priority="640" operator="equal">
      <formula>#REF!</formula>
    </cfRule>
  </conditionalFormatting>
  <conditionalFormatting sqref="I15:K16">
    <cfRule type="cellIs" dxfId="373" priority="935" operator="equal">
      <formula>#REF!</formula>
    </cfRule>
  </conditionalFormatting>
  <conditionalFormatting sqref="J11">
    <cfRule type="cellIs" dxfId="372" priority="198" operator="equal">
      <formula>#REF!</formula>
    </cfRule>
    <cfRule type="cellIs" dxfId="371" priority="199" operator="equal">
      <formula>#REF!</formula>
    </cfRule>
    <cfRule type="cellIs" dxfId="370" priority="200" operator="equal">
      <formula>#REF!</formula>
    </cfRule>
    <cfRule type="cellIs" dxfId="369" priority="201" operator="equal">
      <formula>#REF!</formula>
    </cfRule>
    <cfRule type="cellIs" dxfId="368" priority="202" operator="equal">
      <formula>#REF!</formula>
    </cfRule>
    <cfRule type="cellIs" dxfId="367" priority="204" operator="equal">
      <formula>#REF!</formula>
    </cfRule>
    <cfRule type="cellIs" dxfId="366" priority="205" operator="equal">
      <formula>#REF!</formula>
    </cfRule>
    <cfRule type="cellIs" dxfId="365" priority="206" operator="equal">
      <formula>#REF!</formula>
    </cfRule>
    <cfRule type="cellIs" dxfId="364" priority="207" operator="equal">
      <formula>#REF!</formula>
    </cfRule>
    <cfRule type="cellIs" dxfId="363" priority="208" operator="equal">
      <formula>#REF!</formula>
    </cfRule>
    <cfRule type="cellIs" dxfId="362" priority="209" operator="equal">
      <formula>#REF!</formula>
    </cfRule>
    <cfRule type="cellIs" dxfId="361" priority="210" operator="equal">
      <formula>#REF!</formula>
    </cfRule>
    <cfRule type="cellIs" dxfId="360" priority="203" operator="equal">
      <formula>#REF!</formula>
    </cfRule>
    <cfRule type="cellIs" dxfId="359" priority="196" operator="equal">
      <formula>#REF!</formula>
    </cfRule>
    <cfRule type="cellIs" dxfId="358" priority="197" operator="equal">
      <formula>#REF!</formula>
    </cfRule>
  </conditionalFormatting>
  <conditionalFormatting sqref="J15:J16">
    <cfRule type="cellIs" dxfId="357" priority="915" operator="equal">
      <formula>#REF!</formula>
    </cfRule>
    <cfRule type="cellIs" dxfId="356" priority="914" operator="equal">
      <formula>#REF!</formula>
    </cfRule>
    <cfRule type="cellIs" dxfId="355" priority="913" operator="equal">
      <formula>#REF!</formula>
    </cfRule>
  </conditionalFormatting>
  <conditionalFormatting sqref="J15:J17">
    <cfRule type="cellIs" dxfId="354" priority="155" operator="equal">
      <formula>#REF!</formula>
    </cfRule>
    <cfRule type="cellIs" dxfId="353" priority="163" operator="equal">
      <formula>#REF!</formula>
    </cfRule>
    <cfRule type="cellIs" dxfId="352" priority="162" operator="equal">
      <formula>#REF!</formula>
    </cfRule>
  </conditionalFormatting>
  <conditionalFormatting sqref="J17">
    <cfRule type="cellIs" dxfId="351" priority="158" operator="equal">
      <formula>#REF!</formula>
    </cfRule>
    <cfRule type="cellIs" dxfId="350" priority="161" operator="equal">
      <formula>#REF!</formula>
    </cfRule>
    <cfRule type="cellIs" dxfId="349" priority="151" operator="equal">
      <formula>#REF!</formula>
    </cfRule>
    <cfRule type="cellIs" dxfId="348" priority="152" operator="equal">
      <formula>#REF!</formula>
    </cfRule>
    <cfRule type="cellIs" dxfId="347" priority="153" operator="equal">
      <formula>#REF!</formula>
    </cfRule>
    <cfRule type="cellIs" dxfId="346" priority="154" operator="equal">
      <formula>#REF!</formula>
    </cfRule>
    <cfRule type="cellIs" dxfId="345" priority="156" operator="equal">
      <formula>#REF!</formula>
    </cfRule>
    <cfRule type="cellIs" dxfId="344" priority="157" operator="equal">
      <formula>#REF!</formula>
    </cfRule>
    <cfRule type="cellIs" dxfId="343" priority="159" operator="equal">
      <formula>#REF!</formula>
    </cfRule>
    <cfRule type="cellIs" dxfId="342" priority="165" operator="equal">
      <formula>#REF!</formula>
    </cfRule>
    <cfRule type="cellIs" dxfId="341" priority="160" operator="equal">
      <formula>#REF!</formula>
    </cfRule>
  </conditionalFormatting>
  <conditionalFormatting sqref="J19">
    <cfRule type="cellIs" dxfId="340" priority="106" operator="equal">
      <formula>#REF!</formula>
    </cfRule>
    <cfRule type="cellIs" dxfId="339" priority="120" operator="equal">
      <formula>#REF!</formula>
    </cfRule>
    <cfRule type="cellIs" dxfId="338" priority="111" operator="equal">
      <formula>#REF!</formula>
    </cfRule>
    <cfRule type="cellIs" dxfId="337" priority="118" operator="equal">
      <formula>#REF!</formula>
    </cfRule>
    <cfRule type="cellIs" dxfId="336" priority="117" operator="equal">
      <formula>#REF!</formula>
    </cfRule>
    <cfRule type="cellIs" dxfId="335" priority="108" operator="equal">
      <formula>#REF!</formula>
    </cfRule>
    <cfRule type="cellIs" dxfId="334" priority="107" operator="equal">
      <formula>#REF!</formula>
    </cfRule>
    <cfRule type="cellIs" dxfId="333" priority="109" operator="equal">
      <formula>#REF!</formula>
    </cfRule>
    <cfRule type="cellIs" dxfId="332" priority="110" operator="equal">
      <formula>#REF!</formula>
    </cfRule>
    <cfRule type="cellIs" dxfId="331" priority="112" operator="equal">
      <formula>#REF!</formula>
    </cfRule>
    <cfRule type="cellIs" dxfId="330" priority="113" operator="equal">
      <formula>#REF!</formula>
    </cfRule>
    <cfRule type="cellIs" dxfId="329" priority="114" operator="equal">
      <formula>#REF!</formula>
    </cfRule>
    <cfRule type="cellIs" dxfId="328" priority="115" operator="equal">
      <formula>#REF!</formula>
    </cfRule>
    <cfRule type="cellIs" dxfId="327" priority="116" operator="equal">
      <formula>#REF!</formula>
    </cfRule>
  </conditionalFormatting>
  <conditionalFormatting sqref="J25">
    <cfRule type="cellIs" dxfId="326" priority="71" operator="equal">
      <formula>#REF!</formula>
    </cfRule>
    <cfRule type="cellIs" dxfId="325" priority="75" operator="equal">
      <formula>#REF!</formula>
    </cfRule>
    <cfRule type="cellIs" dxfId="324" priority="61" operator="equal">
      <formula>#REF!</formula>
    </cfRule>
    <cfRule type="cellIs" dxfId="323" priority="63" operator="equal">
      <formula>#REF!</formula>
    </cfRule>
    <cfRule type="cellIs" dxfId="322" priority="65" operator="equal">
      <formula>#REF!</formula>
    </cfRule>
    <cfRule type="cellIs" dxfId="321" priority="66" operator="equal">
      <formula>#REF!</formula>
    </cfRule>
    <cfRule type="cellIs" dxfId="320" priority="72" operator="equal">
      <formula>#REF!</formula>
    </cfRule>
    <cfRule type="cellIs" dxfId="319" priority="67" operator="equal">
      <formula>#REF!</formula>
    </cfRule>
    <cfRule type="cellIs" dxfId="318" priority="68" operator="equal">
      <formula>#REF!</formula>
    </cfRule>
    <cfRule type="cellIs" dxfId="317" priority="69" operator="equal">
      <formula>#REF!</formula>
    </cfRule>
    <cfRule type="cellIs" dxfId="316" priority="70" operator="equal">
      <formula>#REF!</formula>
    </cfRule>
    <cfRule type="cellIs" dxfId="315" priority="73" operator="equal">
      <formula>#REF!</formula>
    </cfRule>
    <cfRule type="cellIs" dxfId="314" priority="64" operator="equal">
      <formula>#REF!</formula>
    </cfRule>
    <cfRule type="cellIs" dxfId="313" priority="62" operator="equal">
      <formula>#REF!</formula>
    </cfRule>
  </conditionalFormatting>
  <conditionalFormatting sqref="J3:K4">
    <cfRule type="cellIs" dxfId="312" priority="883" operator="equal">
      <formula>#REF!</formula>
    </cfRule>
    <cfRule type="cellIs" dxfId="311" priority="884" operator="equal">
      <formula>#REF!</formula>
    </cfRule>
    <cfRule type="cellIs" dxfId="310" priority="886" operator="equal">
      <formula>#REF!</formula>
    </cfRule>
    <cfRule type="cellIs" dxfId="309" priority="887" operator="equal">
      <formula>#REF!</formula>
    </cfRule>
    <cfRule type="cellIs" dxfId="308" priority="875" operator="equal">
      <formula>#REF!</formula>
    </cfRule>
    <cfRule type="cellIs" dxfId="307" priority="877" operator="equal">
      <formula>#REF!</formula>
    </cfRule>
    <cfRule type="cellIs" dxfId="306" priority="878" operator="equal">
      <formula>#REF!</formula>
    </cfRule>
    <cfRule type="cellIs" dxfId="305" priority="874" operator="equal">
      <formula>#REF!</formula>
    </cfRule>
    <cfRule type="cellIs" dxfId="304" priority="876" operator="equal">
      <formula>#REF!</formula>
    </cfRule>
    <cfRule type="cellIs" dxfId="303" priority="885" operator="equal">
      <formula>#REF!</formula>
    </cfRule>
    <cfRule type="cellIs" dxfId="302" priority="871" operator="equal">
      <formula>#REF!</formula>
    </cfRule>
    <cfRule type="cellIs" dxfId="301" priority="879" operator="equal">
      <formula>#REF!</formula>
    </cfRule>
    <cfRule type="cellIs" dxfId="300" priority="880" operator="equal">
      <formula>#REF!</formula>
    </cfRule>
    <cfRule type="cellIs" dxfId="299" priority="881" operator="equal">
      <formula>#REF!</formula>
    </cfRule>
    <cfRule type="cellIs" dxfId="298" priority="882" operator="equal">
      <formula>#REF!</formula>
    </cfRule>
  </conditionalFormatting>
  <conditionalFormatting sqref="J7:K7">
    <cfRule type="cellIs" dxfId="297" priority="706" operator="equal">
      <formula>#REF!</formula>
    </cfRule>
    <cfRule type="cellIs" dxfId="296" priority="708" operator="equal">
      <formula>#REF!</formula>
    </cfRule>
    <cfRule type="cellIs" dxfId="295" priority="707" operator="equal">
      <formula>#REF!</formula>
    </cfRule>
    <cfRule type="cellIs" dxfId="294" priority="705" operator="equal">
      <formula>#REF!</formula>
    </cfRule>
    <cfRule type="cellIs" dxfId="293" priority="704" operator="equal">
      <formula>#REF!</formula>
    </cfRule>
    <cfRule type="cellIs" dxfId="292" priority="703" operator="equal">
      <formula>#REF!</formula>
    </cfRule>
    <cfRule type="cellIs" dxfId="291" priority="702" operator="equal">
      <formula>#REF!</formula>
    </cfRule>
    <cfRule type="cellIs" dxfId="290" priority="701" operator="equal">
      <formula>#REF!</formula>
    </cfRule>
    <cfRule type="cellIs" dxfId="289" priority="700" operator="equal">
      <formula>#REF!</formula>
    </cfRule>
    <cfRule type="cellIs" dxfId="288" priority="699" operator="equal">
      <formula>#REF!</formula>
    </cfRule>
    <cfRule type="cellIs" dxfId="287" priority="698" operator="equal">
      <formula>#REF!</formula>
    </cfRule>
    <cfRule type="cellIs" dxfId="286" priority="697" operator="equal">
      <formula>#REF!</formula>
    </cfRule>
    <cfRule type="cellIs" dxfId="285" priority="696" operator="equal">
      <formula>#REF!</formula>
    </cfRule>
    <cfRule type="cellIs" dxfId="284" priority="695" operator="equal">
      <formula>#REF!</formula>
    </cfRule>
  </conditionalFormatting>
  <conditionalFormatting sqref="J9:K9">
    <cfRule type="cellIs" dxfId="283" priority="632" operator="equal">
      <formula>#REF!</formula>
    </cfRule>
    <cfRule type="cellIs" dxfId="282" priority="639" operator="equal">
      <formula>#REF!</formula>
    </cfRule>
    <cfRule type="cellIs" dxfId="281" priority="635" operator="equal">
      <formula>#REF!</formula>
    </cfRule>
    <cfRule type="cellIs" dxfId="280" priority="636" operator="equal">
      <formula>#REF!</formula>
    </cfRule>
    <cfRule type="cellIs" dxfId="279" priority="637" operator="equal">
      <formula>#REF!</formula>
    </cfRule>
    <cfRule type="cellIs" dxfId="278" priority="628" operator="equal">
      <formula>#REF!</formula>
    </cfRule>
    <cfRule type="cellIs" dxfId="277" priority="629" operator="equal">
      <formula>#REF!</formula>
    </cfRule>
    <cfRule type="cellIs" dxfId="276" priority="630" operator="equal">
      <formula>#REF!</formula>
    </cfRule>
    <cfRule type="cellIs" dxfId="275" priority="631" operator="equal">
      <formula>#REF!</formula>
    </cfRule>
    <cfRule type="cellIs" dxfId="274" priority="641" operator="equal">
      <formula>#REF!</formula>
    </cfRule>
    <cfRule type="cellIs" dxfId="273" priority="633" operator="equal">
      <formula>#REF!</formula>
    </cfRule>
    <cfRule type="cellIs" dxfId="272" priority="638" operator="equal">
      <formula>#REF!</formula>
    </cfRule>
    <cfRule type="cellIs" dxfId="271" priority="634" operator="equal">
      <formula>#REF!</formula>
    </cfRule>
  </conditionalFormatting>
  <conditionalFormatting sqref="J15:K16">
    <cfRule type="cellIs" dxfId="270" priority="916" operator="equal">
      <formula>#REF!</formula>
    </cfRule>
  </conditionalFormatting>
  <conditionalFormatting sqref="J17:K17">
    <cfRule type="cellIs" dxfId="269" priority="164" operator="equal">
      <formula>#REF!</formula>
    </cfRule>
  </conditionalFormatting>
  <conditionalFormatting sqref="J19:K19">
    <cfRule type="cellIs" dxfId="268" priority="119" operator="equal">
      <formula>#REF!</formula>
    </cfRule>
  </conditionalFormatting>
  <conditionalFormatting sqref="J25:K25">
    <cfRule type="cellIs" dxfId="267" priority="74" operator="equal">
      <formula>#REF!</formula>
    </cfRule>
  </conditionalFormatting>
  <conditionalFormatting sqref="J9:L9">
    <cfRule type="cellIs" dxfId="266" priority="261" operator="equal">
      <formula>#REF!</formula>
    </cfRule>
  </conditionalFormatting>
  <conditionalFormatting sqref="K5 K1:L1">
    <cfRule type="cellIs" dxfId="265" priority="917" operator="equal">
      <formula>#REF!</formula>
    </cfRule>
  </conditionalFormatting>
  <conditionalFormatting sqref="K5">
    <cfRule type="cellIs" dxfId="264" priority="852" operator="equal">
      <formula>#REF!</formula>
    </cfRule>
    <cfRule type="cellIs" dxfId="263" priority="853" operator="equal">
      <formula>#REF!</formula>
    </cfRule>
    <cfRule type="cellIs" dxfId="262" priority="854" operator="equal">
      <formula>#REF!</formula>
    </cfRule>
    <cfRule type="cellIs" dxfId="261" priority="855" operator="equal">
      <formula>#REF!</formula>
    </cfRule>
    <cfRule type="cellIs" dxfId="260" priority="856" operator="equal">
      <formula>#REF!</formula>
    </cfRule>
    <cfRule type="cellIs" dxfId="259" priority="857" operator="equal">
      <formula>#REF!</formula>
    </cfRule>
    <cfRule type="cellIs" dxfId="258" priority="847" operator="equal">
      <formula>#REF!</formula>
    </cfRule>
    <cfRule type="cellIs" dxfId="257" priority="845" operator="equal">
      <formula>#REF!</formula>
    </cfRule>
    <cfRule type="cellIs" dxfId="256" priority="846" operator="equal">
      <formula>#REF!</formula>
    </cfRule>
    <cfRule type="cellIs" dxfId="255" priority="848" operator="equal">
      <formula>#REF!</formula>
    </cfRule>
    <cfRule type="cellIs" dxfId="254" priority="849" operator="equal">
      <formula>#REF!</formula>
    </cfRule>
    <cfRule type="cellIs" dxfId="253" priority="850" operator="equal">
      <formula>#REF!</formula>
    </cfRule>
    <cfRule type="cellIs" dxfId="252" priority="851" operator="equal">
      <formula>#REF!</formula>
    </cfRule>
  </conditionalFormatting>
  <conditionalFormatting sqref="K5:K6">
    <cfRule type="cellIs" dxfId="251" priority="766" operator="equal">
      <formula>#REF!</formula>
    </cfRule>
  </conditionalFormatting>
  <conditionalFormatting sqref="K6">
    <cfRule type="cellIs" dxfId="250" priority="754" operator="equal">
      <formula>#REF!</formula>
    </cfRule>
    <cfRule type="cellIs" dxfId="249" priority="755" operator="equal">
      <formula>#REF!</formula>
    </cfRule>
    <cfRule type="cellIs" dxfId="248" priority="756" operator="equal">
      <formula>#REF!</formula>
    </cfRule>
    <cfRule type="cellIs" dxfId="247" priority="757" operator="equal">
      <formula>#REF!</formula>
    </cfRule>
    <cfRule type="cellIs" dxfId="246" priority="760" operator="equal">
      <formula>#REF!</formula>
    </cfRule>
    <cfRule type="cellIs" dxfId="245" priority="761" operator="equal">
      <formula>#REF!</formula>
    </cfRule>
    <cfRule type="cellIs" dxfId="244" priority="762" operator="equal">
      <formula>#REF!</formula>
    </cfRule>
    <cfRule type="cellIs" dxfId="243" priority="763" operator="equal">
      <formula>#REF!</formula>
    </cfRule>
    <cfRule type="cellIs" dxfId="242" priority="764" operator="equal">
      <formula>#REF!</formula>
    </cfRule>
    <cfRule type="cellIs" dxfId="241" priority="765" operator="equal">
      <formula>#REF!</formula>
    </cfRule>
    <cfRule type="cellIs" dxfId="240" priority="767" operator="equal">
      <formula>#REF!</formula>
    </cfRule>
    <cfRule type="cellIs" dxfId="239" priority="758" operator="equal">
      <formula>#REF!</formula>
    </cfRule>
    <cfRule type="cellIs" dxfId="238" priority="768" operator="equal">
      <formula>#REF!</formula>
    </cfRule>
    <cfRule type="cellIs" dxfId="237" priority="759" operator="equal">
      <formula>#REF!</formula>
    </cfRule>
  </conditionalFormatting>
  <conditionalFormatting sqref="K8">
    <cfRule type="cellIs" dxfId="236" priority="730" operator="equal">
      <formula>#REF!</formula>
    </cfRule>
    <cfRule type="cellIs" dxfId="235" priority="731" operator="equal">
      <formula>#REF!</formula>
    </cfRule>
    <cfRule type="cellIs" dxfId="234" priority="733" operator="equal">
      <formula>#REF!</formula>
    </cfRule>
    <cfRule type="cellIs" dxfId="233" priority="732" operator="equal">
      <formula>#REF!</formula>
    </cfRule>
    <cfRule type="cellIs" dxfId="232" priority="734" operator="equal">
      <formula>#REF!</formula>
    </cfRule>
    <cfRule type="cellIs" dxfId="231" priority="735" operator="equal">
      <formula>#REF!</formula>
    </cfRule>
    <cfRule type="cellIs" dxfId="230" priority="736" operator="equal">
      <formula>#REF!</formula>
    </cfRule>
    <cfRule type="cellIs" dxfId="229" priority="737" operator="equal">
      <formula>#REF!</formula>
    </cfRule>
    <cfRule type="cellIs" dxfId="228" priority="738" operator="equal">
      <formula>#REF!</formula>
    </cfRule>
    <cfRule type="cellIs" dxfId="227" priority="724" operator="equal">
      <formula>#REF!</formula>
    </cfRule>
    <cfRule type="cellIs" dxfId="226" priority="725" operator="equal">
      <formula>#REF!</formula>
    </cfRule>
    <cfRule type="cellIs" dxfId="225" priority="726" operator="equal">
      <formula>#REF!</formula>
    </cfRule>
    <cfRule type="cellIs" dxfId="224" priority="727" operator="equal">
      <formula>#REF!</formula>
    </cfRule>
    <cfRule type="cellIs" dxfId="223" priority="728" operator="equal">
      <formula>#REF!</formula>
    </cfRule>
    <cfRule type="cellIs" dxfId="222" priority="729" operator="equal">
      <formula>#REF!</formula>
    </cfRule>
  </conditionalFormatting>
  <conditionalFormatting sqref="K10">
    <cfRule type="cellIs" dxfId="221" priority="669" operator="equal">
      <formula>#REF!</formula>
    </cfRule>
    <cfRule type="cellIs" dxfId="220" priority="677" operator="equal">
      <formula>#REF!</formula>
    </cfRule>
    <cfRule type="cellIs" dxfId="219" priority="678" operator="equal">
      <formula>#REF!</formula>
    </cfRule>
    <cfRule type="cellIs" dxfId="218" priority="665" operator="equal">
      <formula>#REF!</formula>
    </cfRule>
    <cfRule type="cellIs" dxfId="217" priority="667" operator="equal">
      <formula>#REF!</formula>
    </cfRule>
    <cfRule type="cellIs" dxfId="216" priority="668" operator="equal">
      <formula>#REF!</formula>
    </cfRule>
    <cfRule type="cellIs" dxfId="215" priority="676" operator="equal">
      <formula>#REF!</formula>
    </cfRule>
    <cfRule type="cellIs" dxfId="214" priority="670" operator="equal">
      <formula>#REF!</formula>
    </cfRule>
    <cfRule type="cellIs" dxfId="213" priority="671" operator="equal">
      <formula>#REF!</formula>
    </cfRule>
    <cfRule type="cellIs" dxfId="212" priority="672" operator="equal">
      <formula>#REF!</formula>
    </cfRule>
    <cfRule type="cellIs" dxfId="211" priority="673" operator="equal">
      <formula>#REF!</formula>
    </cfRule>
    <cfRule type="cellIs" dxfId="210" priority="674" operator="equal">
      <formula>#REF!</formula>
    </cfRule>
    <cfRule type="cellIs" dxfId="209" priority="675" operator="equal">
      <formula>#REF!</formula>
    </cfRule>
    <cfRule type="cellIs" dxfId="208" priority="666" operator="equal">
      <formula>#REF!</formula>
    </cfRule>
  </conditionalFormatting>
  <conditionalFormatting sqref="K10:K12">
    <cfRule type="cellIs" dxfId="207" priority="603" operator="equal">
      <formula>#REF!</formula>
    </cfRule>
  </conditionalFormatting>
  <conditionalFormatting sqref="K11:K12">
    <cfRule type="cellIs" dxfId="206" priority="604" operator="equal">
      <formula>#REF!</formula>
    </cfRule>
    <cfRule type="cellIs" dxfId="205" priority="593" operator="equal">
      <formula>#REF!</formula>
    </cfRule>
    <cfRule type="cellIs" dxfId="204" priority="592" operator="equal">
      <formula>#REF!</formula>
    </cfRule>
    <cfRule type="cellIs" dxfId="203" priority="591" operator="equal">
      <formula>#REF!</formula>
    </cfRule>
    <cfRule type="cellIs" dxfId="202" priority="594" operator="equal">
      <formula>#REF!</formula>
    </cfRule>
    <cfRule type="cellIs" dxfId="201" priority="602" operator="equal">
      <formula>#REF!</formula>
    </cfRule>
    <cfRule type="cellIs" dxfId="200" priority="601" operator="equal">
      <formula>#REF!</formula>
    </cfRule>
    <cfRule type="cellIs" dxfId="199" priority="600" operator="equal">
      <formula>#REF!</formula>
    </cfRule>
    <cfRule type="cellIs" dxfId="198" priority="599" operator="equal">
      <formula>#REF!</formula>
    </cfRule>
    <cfRule type="cellIs" dxfId="197" priority="598" operator="equal">
      <formula>#REF!</formula>
    </cfRule>
    <cfRule type="cellIs" dxfId="196" priority="597" operator="equal">
      <formula>#REF!</formula>
    </cfRule>
    <cfRule type="cellIs" dxfId="195" priority="596" operator="equal">
      <formula>#REF!</formula>
    </cfRule>
    <cfRule type="cellIs" dxfId="194" priority="595" operator="equal">
      <formula>#REF!</formula>
    </cfRule>
  </conditionalFormatting>
  <conditionalFormatting sqref="K11:K14">
    <cfRule type="cellIs" dxfId="193" priority="491" operator="equal">
      <formula>#REF!</formula>
    </cfRule>
  </conditionalFormatting>
  <conditionalFormatting sqref="K13">
    <cfRule type="cellIs" dxfId="192" priority="482" operator="equal">
      <formula>#REF!</formula>
    </cfRule>
    <cfRule type="cellIs" dxfId="191" priority="481" operator="equal">
      <formula>#REF!</formula>
    </cfRule>
    <cfRule type="cellIs" dxfId="190" priority="480" operator="equal">
      <formula>#REF!</formula>
    </cfRule>
    <cfRule type="cellIs" dxfId="189" priority="479" operator="equal">
      <formula>#REF!</formula>
    </cfRule>
    <cfRule type="cellIs" dxfId="188" priority="485" operator="equal">
      <formula>#REF!</formula>
    </cfRule>
    <cfRule type="cellIs" dxfId="187" priority="483" operator="equal">
      <formula>#REF!</formula>
    </cfRule>
    <cfRule type="cellIs" dxfId="186" priority="484" operator="equal">
      <formula>#REF!</formula>
    </cfRule>
    <cfRule type="cellIs" dxfId="185" priority="492" operator="equal">
      <formula>#REF!</formula>
    </cfRule>
    <cfRule type="cellIs" dxfId="184" priority="486" operator="equal">
      <formula>#REF!</formula>
    </cfRule>
    <cfRule type="cellIs" dxfId="183" priority="487" operator="equal">
      <formula>#REF!</formula>
    </cfRule>
    <cfRule type="cellIs" dxfId="182" priority="488" operator="equal">
      <formula>#REF!</formula>
    </cfRule>
    <cfRule type="cellIs" dxfId="181" priority="489" operator="equal">
      <formula>#REF!</formula>
    </cfRule>
    <cfRule type="cellIs" dxfId="180" priority="490" operator="equal">
      <formula>#REF!</formula>
    </cfRule>
  </conditionalFormatting>
  <conditionalFormatting sqref="K14">
    <cfRule type="cellIs" dxfId="179" priority="520" operator="equal">
      <formula>#REF!</formula>
    </cfRule>
    <cfRule type="cellIs" dxfId="178" priority="518" operator="equal">
      <formula>#REF!</formula>
    </cfRule>
    <cfRule type="cellIs" dxfId="177" priority="517" operator="equal">
      <formula>#REF!</formula>
    </cfRule>
    <cfRule type="cellIs" dxfId="176" priority="516" operator="equal">
      <formula>#REF!</formula>
    </cfRule>
    <cfRule type="cellIs" dxfId="175" priority="515" operator="equal">
      <formula>#REF!</formula>
    </cfRule>
    <cfRule type="cellIs" dxfId="174" priority="512" operator="equal">
      <formula>#REF!</formula>
    </cfRule>
    <cfRule type="cellIs" dxfId="173" priority="511" operator="equal">
      <formula>#REF!</formula>
    </cfRule>
    <cfRule type="cellIs" dxfId="172" priority="510" operator="equal">
      <formula>#REF!</formula>
    </cfRule>
    <cfRule type="cellIs" dxfId="171" priority="509" operator="equal">
      <formula>#REF!</formula>
    </cfRule>
    <cfRule type="cellIs" dxfId="170" priority="513" operator="equal">
      <formula>#REF!</formula>
    </cfRule>
    <cfRule type="cellIs" dxfId="169" priority="519" operator="equal">
      <formula>#REF!</formula>
    </cfRule>
    <cfRule type="cellIs" dxfId="168" priority="522" operator="equal">
      <formula>#REF!</formula>
    </cfRule>
    <cfRule type="cellIs" dxfId="167" priority="521" operator="equal">
      <formula>#REF!</formula>
    </cfRule>
    <cfRule type="cellIs" dxfId="166" priority="514" operator="equal">
      <formula>#REF!</formula>
    </cfRule>
  </conditionalFormatting>
  <conditionalFormatting sqref="K15:K16">
    <cfRule type="cellIs" dxfId="165" priority="934" operator="equal">
      <formula>#REF!</formula>
    </cfRule>
    <cfRule type="cellIs" dxfId="164" priority="933" operator="equal">
      <formula>#REF!</formula>
    </cfRule>
    <cfRule type="cellIs" dxfId="163" priority="932" operator="equal">
      <formula>#REF!</formula>
    </cfRule>
    <cfRule type="cellIs" dxfId="162" priority="937" operator="equal">
      <formula>#REF!</formula>
    </cfRule>
    <cfRule type="cellIs" dxfId="161" priority="936" operator="equal">
      <formula>#REF!</formula>
    </cfRule>
    <cfRule type="cellIs" dxfId="160" priority="938" operator="equal">
      <formula>#REF!</formula>
    </cfRule>
  </conditionalFormatting>
  <conditionalFormatting sqref="K17">
    <cfRule type="cellIs" dxfId="159" priority="184" operator="equal">
      <formula>#REF!</formula>
    </cfRule>
    <cfRule type="cellIs" dxfId="158" priority="183" operator="equal">
      <formula>#REF!</formula>
    </cfRule>
    <cfRule type="cellIs" dxfId="157" priority="182" operator="equal">
      <formula>#REF!</formula>
    </cfRule>
    <cfRule type="cellIs" dxfId="156" priority="195" operator="equal">
      <formula>#REF!</formula>
    </cfRule>
    <cfRule type="cellIs" dxfId="155" priority="193" operator="equal">
      <formula>#REF!</formula>
    </cfRule>
    <cfRule type="cellIs" dxfId="154" priority="192" operator="equal">
      <formula>#REF!</formula>
    </cfRule>
    <cfRule type="cellIs" dxfId="153" priority="191" operator="equal">
      <formula>#REF!</formula>
    </cfRule>
    <cfRule type="cellIs" dxfId="152" priority="190" operator="equal">
      <formula>#REF!</formula>
    </cfRule>
    <cfRule type="cellIs" dxfId="151" priority="189" operator="equal">
      <formula>#REF!</formula>
    </cfRule>
    <cfRule type="cellIs" dxfId="150" priority="188" operator="equal">
      <formula>#REF!</formula>
    </cfRule>
    <cfRule type="cellIs" dxfId="149" priority="187" operator="equal">
      <formula>#REF!</formula>
    </cfRule>
    <cfRule type="cellIs" dxfId="148" priority="186" operator="equal">
      <formula>#REF!</formula>
    </cfRule>
    <cfRule type="cellIs" dxfId="147" priority="185" operator="equal">
      <formula>#REF!</formula>
    </cfRule>
  </conditionalFormatting>
  <conditionalFormatting sqref="K19">
    <cfRule type="cellIs" dxfId="146" priority="137" operator="equal">
      <formula>#REF!</formula>
    </cfRule>
    <cfRule type="cellIs" dxfId="145" priority="138" operator="equal">
      <formula>#REF!</formula>
    </cfRule>
    <cfRule type="cellIs" dxfId="144" priority="139" operator="equal">
      <formula>#REF!</formula>
    </cfRule>
    <cfRule type="cellIs" dxfId="143" priority="140" operator="equal">
      <formula>#REF!</formula>
    </cfRule>
    <cfRule type="cellIs" dxfId="142" priority="146" operator="equal">
      <formula>#REF!</formula>
    </cfRule>
    <cfRule type="cellIs" dxfId="141" priority="149" operator="equal">
      <formula>#REF!</formula>
    </cfRule>
    <cfRule type="cellIs" dxfId="140" priority="150" operator="equal">
      <formula>#REF!</formula>
    </cfRule>
    <cfRule type="cellIs" dxfId="139" priority="148" operator="equal">
      <formula>#REF!</formula>
    </cfRule>
    <cfRule type="cellIs" dxfId="138" priority="144" operator="equal">
      <formula>#REF!</formula>
    </cfRule>
    <cfRule type="cellIs" dxfId="137" priority="147" operator="equal">
      <formula>#REF!</formula>
    </cfRule>
    <cfRule type="cellIs" dxfId="136" priority="141" operator="equal">
      <formula>#REF!</formula>
    </cfRule>
    <cfRule type="cellIs" dxfId="135" priority="143" operator="equal">
      <formula>#REF!</formula>
    </cfRule>
    <cfRule type="cellIs" dxfId="134" priority="145" operator="equal">
      <formula>#REF!</formula>
    </cfRule>
    <cfRule type="cellIs" dxfId="133" priority="142" operator="equal">
      <formula>#REF!</formula>
    </cfRule>
  </conditionalFormatting>
  <conditionalFormatting sqref="K25">
    <cfRule type="cellIs" dxfId="132" priority="95" operator="equal">
      <formula>#REF!</formula>
    </cfRule>
    <cfRule type="cellIs" dxfId="131" priority="100" operator="equal">
      <formula>#REF!</formula>
    </cfRule>
    <cfRule type="cellIs" dxfId="130" priority="103" operator="equal">
      <formula>#REF!</formula>
    </cfRule>
    <cfRule type="cellIs" dxfId="129" priority="92" operator="equal">
      <formula>#REF!</formula>
    </cfRule>
    <cfRule type="cellIs" dxfId="128" priority="105" operator="equal">
      <formula>#REF!</formula>
    </cfRule>
    <cfRule type="cellIs" dxfId="127" priority="102" operator="equal">
      <formula>#REF!</formula>
    </cfRule>
    <cfRule type="cellIs" dxfId="126" priority="101" operator="equal">
      <formula>#REF!</formula>
    </cfRule>
    <cfRule type="cellIs" dxfId="125" priority="99" operator="equal">
      <formula>#REF!</formula>
    </cfRule>
    <cfRule type="cellIs" dxfId="124" priority="98" operator="equal">
      <formula>#REF!</formula>
    </cfRule>
    <cfRule type="cellIs" dxfId="123" priority="97" operator="equal">
      <formula>#REF!</formula>
    </cfRule>
    <cfRule type="cellIs" dxfId="122" priority="96" operator="equal">
      <formula>#REF!</formula>
    </cfRule>
    <cfRule type="cellIs" dxfId="121" priority="93" operator="equal">
      <formula>#REF!</formula>
    </cfRule>
    <cfRule type="cellIs" dxfId="120" priority="94" operator="equal">
      <formula>#REF!</formula>
    </cfRule>
  </conditionalFormatting>
  <conditionalFormatting sqref="K1:L1 K5 K15:K16">
    <cfRule type="cellIs" dxfId="119" priority="929" operator="equal">
      <formula>#REF!</formula>
    </cfRule>
    <cfRule type="cellIs" dxfId="118" priority="918" operator="equal">
      <formula>#REF!</formula>
    </cfRule>
    <cfRule type="cellIs" dxfId="117" priority="928" operator="equal">
      <formula>#REF!</formula>
    </cfRule>
    <cfRule type="cellIs" dxfId="116" priority="931" operator="equal">
      <formula>#REF!</formula>
    </cfRule>
    <cfRule type="cellIs" dxfId="115" priority="919" operator="equal">
      <formula>#REF!</formula>
    </cfRule>
    <cfRule type="cellIs" dxfId="114" priority="920" operator="equal">
      <formula>#REF!</formula>
    </cfRule>
  </conditionalFormatting>
  <conditionalFormatting sqref="K1:L1 K5">
    <cfRule type="cellIs" dxfId="113" priority="922" operator="equal">
      <formula>#REF!</formula>
    </cfRule>
    <cfRule type="cellIs" dxfId="112" priority="923" operator="equal">
      <formula>#REF!</formula>
    </cfRule>
    <cfRule type="cellIs" dxfId="111" priority="924" operator="equal">
      <formula>#REF!</formula>
    </cfRule>
    <cfRule type="cellIs" dxfId="110" priority="927" operator="equal">
      <formula>#REF!</formula>
    </cfRule>
    <cfRule type="cellIs" dxfId="109" priority="926" operator="equal">
      <formula>#REF!</formula>
    </cfRule>
    <cfRule type="cellIs" dxfId="108" priority="925" operator="equal">
      <formula>#REF!</formula>
    </cfRule>
    <cfRule type="cellIs" dxfId="107" priority="921" operator="equal">
      <formula>#REF!</formula>
    </cfRule>
  </conditionalFormatting>
  <conditionalFormatting sqref="K17:L17">
    <cfRule type="cellIs" dxfId="106" priority="194" operator="equal">
      <formula>#REF!</formula>
    </cfRule>
  </conditionalFormatting>
  <conditionalFormatting sqref="K25:L25">
    <cfRule type="cellIs" dxfId="105" priority="104" operator="equal">
      <formula>#REF!</formula>
    </cfRule>
  </conditionalFormatting>
  <conditionalFormatting sqref="L3 L5 J7:L7 L11 K13:L13 L15">
    <cfRule type="cellIs" dxfId="104" priority="335" operator="equal">
      <formula>#REF!</formula>
    </cfRule>
  </conditionalFormatting>
  <conditionalFormatting sqref="L3 L5 L7 L11 L13 L15">
    <cfRule type="cellIs" dxfId="103" priority="317" operator="equal">
      <formula>#REF!</formula>
    </cfRule>
    <cfRule type="cellIs" dxfId="102" priority="333" operator="equal">
      <formula>#REF!</formula>
    </cfRule>
    <cfRule type="cellIs" dxfId="101" priority="334" operator="equal">
      <formula>#REF!</formula>
    </cfRule>
    <cfRule type="cellIs" dxfId="100" priority="336" operator="equal">
      <formula>#REF!</formula>
    </cfRule>
    <cfRule type="cellIs" dxfId="99" priority="316" operator="equal">
      <formula>#REF!</formula>
    </cfRule>
  </conditionalFormatting>
  <conditionalFormatting sqref="L3 L5 L7 L11">
    <cfRule type="cellIs" dxfId="98" priority="332" operator="equal">
      <formula>#REF!</formula>
    </cfRule>
    <cfRule type="cellIs" dxfId="97" priority="326" operator="equal">
      <formula>#REF!</formula>
    </cfRule>
    <cfRule type="cellIs" dxfId="96" priority="327" operator="equal">
      <formula>#REF!</formula>
    </cfRule>
    <cfRule type="cellIs" dxfId="95" priority="328" operator="equal">
      <formula>#REF!</formula>
    </cfRule>
    <cfRule type="cellIs" dxfId="94" priority="329" operator="equal">
      <formula>#REF!</formula>
    </cfRule>
    <cfRule type="cellIs" dxfId="93" priority="330" operator="equal">
      <formula>#REF!</formula>
    </cfRule>
    <cfRule type="cellIs" dxfId="92" priority="331" operator="equal">
      <formula>#REF!</formula>
    </cfRule>
  </conditionalFormatting>
  <conditionalFormatting sqref="L9">
    <cfRule type="cellIs" dxfId="91" priority="251" operator="equal">
      <formula>#REF!</formula>
    </cfRule>
    <cfRule type="cellIs" dxfId="90" priority="252" operator="equal">
      <formula>#REF!</formula>
    </cfRule>
    <cfRule type="cellIs" dxfId="89" priority="253" operator="equal">
      <formula>#REF!</formula>
    </cfRule>
    <cfRule type="cellIs" dxfId="88" priority="254" operator="equal">
      <formula>#REF!</formula>
    </cfRule>
    <cfRule type="cellIs" dxfId="87" priority="241" operator="equal">
      <formula>#REF!</formula>
    </cfRule>
    <cfRule type="cellIs" dxfId="86" priority="255" operator="equal">
      <formula>#REF!</formula>
    </cfRule>
    <cfRule type="cellIs" dxfId="85" priority="256" operator="equal">
      <formula>#REF!</formula>
    </cfRule>
    <cfRule type="cellIs" dxfId="84" priority="257" operator="equal">
      <formula>#REF!</formula>
    </cfRule>
    <cfRule type="cellIs" dxfId="83" priority="258" operator="equal">
      <formula>#REF!</formula>
    </cfRule>
    <cfRule type="cellIs" dxfId="82" priority="259" operator="equal">
      <formula>#REF!</formula>
    </cfRule>
    <cfRule type="cellIs" dxfId="81" priority="260" operator="equal">
      <formula>#REF!</formula>
    </cfRule>
    <cfRule type="cellIs" dxfId="80" priority="242" operator="equal">
      <formula>#REF!</formula>
    </cfRule>
    <cfRule type="cellIs" dxfId="79" priority="243" operator="equal">
      <formula>#REF!</formula>
    </cfRule>
    <cfRule type="cellIs" dxfId="78" priority="262" operator="equal">
      <formula>#REF!</formula>
    </cfRule>
    <cfRule type="cellIs" dxfId="77" priority="244" operator="equal">
      <formula>#REF!</formula>
    </cfRule>
    <cfRule type="cellIs" dxfId="76" priority="245" operator="equal">
      <formula>#REF!</formula>
    </cfRule>
    <cfRule type="cellIs" dxfId="75" priority="246" operator="equal">
      <formula>#REF!</formula>
    </cfRule>
    <cfRule type="cellIs" dxfId="74" priority="247" operator="equal">
      <formula>#REF!</formula>
    </cfRule>
    <cfRule type="cellIs" dxfId="73" priority="248" operator="equal">
      <formula>#REF!</formula>
    </cfRule>
    <cfRule type="cellIs" dxfId="72" priority="249" operator="equal">
      <formula>#REF!</formula>
    </cfRule>
    <cfRule type="cellIs" dxfId="71" priority="250" operator="equal">
      <formula>#REF!</formula>
    </cfRule>
  </conditionalFormatting>
  <conditionalFormatting sqref="L11 L13 L3 L5 L7 L15">
    <cfRule type="cellIs" dxfId="70" priority="325" operator="equal">
      <formula>#REF!</formula>
    </cfRule>
  </conditionalFormatting>
  <conditionalFormatting sqref="L11 L13">
    <cfRule type="cellIs" dxfId="69" priority="319" operator="equal">
      <formula>#REF!</formula>
    </cfRule>
    <cfRule type="cellIs" dxfId="68" priority="318" operator="equal">
      <formula>#REF!</formula>
    </cfRule>
    <cfRule type="cellIs" dxfId="67" priority="324" operator="equal">
      <formula>#REF!</formula>
    </cfRule>
    <cfRule type="cellIs" dxfId="66" priority="322" operator="equal">
      <formula>#REF!</formula>
    </cfRule>
    <cfRule type="cellIs" dxfId="65" priority="321" operator="equal">
      <formula>#REF!</formula>
    </cfRule>
    <cfRule type="cellIs" dxfId="64" priority="320" operator="equal">
      <formula>#REF!</formula>
    </cfRule>
    <cfRule type="cellIs" dxfId="63" priority="323" operator="equal">
      <formula>#REF!</formula>
    </cfRule>
  </conditionalFormatting>
  <conditionalFormatting sqref="L15 L3 L5 L7 L11 L13">
    <cfRule type="cellIs" dxfId="62" priority="315" operator="equal">
      <formula>#REF!</formula>
    </cfRule>
  </conditionalFormatting>
  <conditionalFormatting sqref="L15">
    <cfRule type="cellIs" dxfId="61" priority="309" operator="equal">
      <formula>#REF!</formula>
    </cfRule>
    <cfRule type="cellIs" dxfId="60" priority="310" operator="equal">
      <formula>#REF!</formula>
    </cfRule>
    <cfRule type="cellIs" dxfId="59" priority="311" operator="equal">
      <formula>#REF!</formula>
    </cfRule>
    <cfRule type="cellIs" dxfId="58" priority="312" operator="equal">
      <formula>#REF!</formula>
    </cfRule>
    <cfRule type="cellIs" dxfId="57" priority="313" operator="equal">
      <formula>#REF!</formula>
    </cfRule>
    <cfRule type="cellIs" dxfId="56" priority="314" operator="equal">
      <formula>#REF!</formula>
    </cfRule>
    <cfRule type="cellIs" dxfId="55" priority="308" operator="equal">
      <formula>#REF!</formula>
    </cfRule>
  </conditionalFormatting>
  <conditionalFormatting sqref="L17">
    <cfRule type="cellIs" dxfId="54" priority="305" operator="equal">
      <formula>#REF!</formula>
    </cfRule>
    <cfRule type="cellIs" dxfId="53" priority="307" operator="equal">
      <formula>#REF!</formula>
    </cfRule>
    <cfRule type="cellIs" dxfId="52" priority="304" operator="equal">
      <formula>#REF!</formula>
    </cfRule>
    <cfRule type="cellIs" dxfId="51" priority="306" operator="equal">
      <formula>#REF!</formula>
    </cfRule>
    <cfRule type="cellIs" dxfId="50" priority="301" operator="equal">
      <formula>#REF!</formula>
    </cfRule>
    <cfRule type="cellIs" dxfId="49" priority="300" operator="equal">
      <formula>#REF!</formula>
    </cfRule>
    <cfRule type="cellIs" dxfId="48" priority="299" operator="equal">
      <formula>#REF!</formula>
    </cfRule>
    <cfRule type="cellIs" dxfId="47" priority="298" operator="equal">
      <formula>#REF!</formula>
    </cfRule>
    <cfRule type="cellIs" dxfId="46" priority="297" operator="equal">
      <formula>#REF!</formula>
    </cfRule>
    <cfRule type="cellIs" dxfId="45" priority="295" operator="equal">
      <formula>#REF!</formula>
    </cfRule>
    <cfRule type="cellIs" dxfId="44" priority="294" operator="equal">
      <formula>#REF!</formula>
    </cfRule>
    <cfRule type="cellIs" dxfId="43" priority="296" operator="equal">
      <formula>#REF!</formula>
    </cfRule>
    <cfRule type="cellIs" dxfId="42" priority="303" operator="equal">
      <formula>#REF!</formula>
    </cfRule>
    <cfRule type="cellIs" dxfId="41" priority="302" operator="equal">
      <formula>#REF!</formula>
    </cfRule>
  </conditionalFormatting>
  <conditionalFormatting sqref="L23 L25 L27">
    <cfRule type="cellIs" dxfId="40" priority="290" operator="equal">
      <formula>#REF!</formula>
    </cfRule>
    <cfRule type="cellIs" dxfId="39" priority="292" operator="equal">
      <formula>#REF!</formula>
    </cfRule>
    <cfRule type="cellIs" dxfId="38" priority="291" operator="equal">
      <formula>#REF!</formula>
    </cfRule>
    <cfRule type="cellIs" dxfId="37" priority="289" operator="equal">
      <formula>#REF!</formula>
    </cfRule>
    <cfRule type="cellIs" dxfId="36" priority="281" operator="equal">
      <formula>#REF!</formula>
    </cfRule>
    <cfRule type="cellIs" dxfId="35" priority="282" operator="equal">
      <formula>#REF!</formula>
    </cfRule>
    <cfRule type="cellIs" dxfId="34" priority="283" operator="equal">
      <formula>#REF!</formula>
    </cfRule>
    <cfRule type="cellIs" dxfId="33" priority="284" operator="equal">
      <formula>#REF!</formula>
    </cfRule>
    <cfRule type="cellIs" dxfId="32" priority="285" operator="equal">
      <formula>#REF!</formula>
    </cfRule>
    <cfRule type="cellIs" dxfId="31" priority="286" operator="equal">
      <formula>#REF!</formula>
    </cfRule>
    <cfRule type="cellIs" dxfId="30" priority="287" operator="equal">
      <formula>#REF!</formula>
    </cfRule>
    <cfRule type="cellIs" dxfId="29" priority="288" operator="equal">
      <formula>#REF!</formula>
    </cfRule>
  </conditionalFormatting>
  <conditionalFormatting sqref="L23 L27 L25">
    <cfRule type="cellIs" dxfId="28" priority="280" operator="equal">
      <formula>#REF!</formula>
    </cfRule>
    <cfRule type="cellIs" dxfId="27" priority="279" operator="equal">
      <formula>#REF!</formula>
    </cfRule>
  </conditionalFormatting>
  <conditionalFormatting sqref="L23 L27">
    <cfRule type="cellIs" dxfId="26" priority="278" operator="equal">
      <formula>#REF!</formula>
    </cfRule>
  </conditionalFormatting>
  <conditionalFormatting sqref="L33">
    <cfRule type="cellIs" dxfId="25" priority="264" operator="equal">
      <formula>#REF!</formula>
    </cfRule>
    <cfRule type="cellIs" dxfId="24" priority="265" operator="equal">
      <formula>#REF!</formula>
    </cfRule>
    <cfRule type="cellIs" dxfId="23" priority="266" operator="equal">
      <formula>#REF!</formula>
    </cfRule>
    <cfRule type="cellIs" dxfId="22" priority="267" operator="equal">
      <formula>#REF!</formula>
    </cfRule>
    <cfRule type="cellIs" dxfId="21" priority="268" operator="equal">
      <formula>#REF!</formula>
    </cfRule>
    <cfRule type="cellIs" dxfId="20" priority="270" operator="equal">
      <formula>#REF!</formula>
    </cfRule>
    <cfRule type="cellIs" dxfId="19" priority="271" operator="equal">
      <formula>#REF!</formula>
    </cfRule>
    <cfRule type="cellIs" dxfId="18" priority="269" operator="equal">
      <formula>#REF!</formula>
    </cfRule>
    <cfRule type="cellIs" dxfId="17" priority="277" operator="equal">
      <formula>#REF!</formula>
    </cfRule>
    <cfRule type="cellIs" dxfId="16" priority="276" operator="equal">
      <formula>#REF!</formula>
    </cfRule>
    <cfRule type="cellIs" dxfId="15" priority="275" operator="equal">
      <formula>#REF!</formula>
    </cfRule>
    <cfRule type="cellIs" dxfId="14" priority="274" operator="equal">
      <formula>#REF!</formula>
    </cfRule>
    <cfRule type="cellIs" dxfId="13" priority="273" operator="equal">
      <formula>#REF!</formula>
    </cfRule>
    <cfRule type="cellIs" dxfId="12" priority="272" operator="equal">
      <formula>#REF!</formula>
    </cfRule>
    <cfRule type="cellIs" dxfId="11" priority="263" operator="equal">
      <formula>#REF!</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3C0CA-1763-4EF3-B3FC-FF7AE87378FB}">
  <dimension ref="A1:BX153"/>
  <sheetViews>
    <sheetView zoomScale="130" zoomScaleNormal="130" workbookViewId="0">
      <pane xSplit="4" topLeftCell="E1" activePane="topRight" state="frozen"/>
      <selection pane="topRight" activeCell="E1" sqref="E1"/>
      <selection activeCell="A52" sqref="A52"/>
    </sheetView>
  </sheetViews>
  <sheetFormatPr defaultRowHeight="12" customHeight="1"/>
  <cols>
    <col min="1" max="1" width="2.7109375" customWidth="1"/>
    <col min="2" max="2" width="3.140625" bestFit="1" customWidth="1"/>
    <col min="3" max="3" width="5.140625" bestFit="1" customWidth="1"/>
    <col min="4" max="4" width="22" bestFit="1" customWidth="1"/>
    <col min="5" max="5" width="5.42578125" style="52" customWidth="1"/>
    <col min="6" max="6" width="7.7109375" customWidth="1"/>
    <col min="7" max="7" width="7.140625" bestFit="1" customWidth="1"/>
    <col min="8" max="8" width="7.140625" customWidth="1"/>
    <col min="9" max="9" width="11.140625" customWidth="1"/>
    <col min="10" max="10" width="10" customWidth="1"/>
    <col min="11" max="11" width="13.85546875" customWidth="1"/>
    <col min="12" max="12" width="17" customWidth="1"/>
    <col min="13" max="13" width="38.85546875" customWidth="1"/>
    <col min="14" max="14" width="4.7109375" hidden="1" customWidth="1"/>
    <col min="15" max="16" width="10.140625" customWidth="1"/>
    <col min="17" max="17" width="11.28515625" style="52" customWidth="1"/>
    <col min="18" max="18" width="7.42578125" customWidth="1"/>
    <col min="19" max="19" width="6.5703125" hidden="1" customWidth="1"/>
    <col min="20" max="20" width="9.5703125" hidden="1" customWidth="1"/>
    <col min="21" max="21" width="10.140625" hidden="1" customWidth="1"/>
    <col min="22" max="22" width="14.7109375" hidden="1" customWidth="1"/>
    <col min="23" max="46" width="6.42578125" hidden="1" customWidth="1"/>
    <col min="47" max="48" width="9.140625" bestFit="1" customWidth="1"/>
    <col min="49" max="59" width="5" customWidth="1"/>
    <col min="60" max="60" width="3.140625" bestFit="1" customWidth="1"/>
    <col min="61" max="61" width="5.28515625" bestFit="1" customWidth="1"/>
    <col min="62" max="62" width="5.5703125" bestFit="1" customWidth="1"/>
    <col min="63" max="64" width="7.28515625" bestFit="1" customWidth="1"/>
    <col min="65" max="65" width="7.7109375" bestFit="1" customWidth="1"/>
    <col min="66" max="66" width="5.85546875" customWidth="1"/>
    <col min="67" max="67" width="3.140625" bestFit="1" customWidth="1"/>
    <col min="68" max="68" width="5.28515625" bestFit="1" customWidth="1"/>
    <col min="69" max="72" width="5.140625" customWidth="1"/>
    <col min="73" max="73" width="3.140625" bestFit="1" customWidth="1"/>
  </cols>
  <sheetData>
    <row r="1" spans="2:76" ht="11.1">
      <c r="K1" s="181">
        <v>45322</v>
      </c>
      <c r="L1" s="181"/>
      <c r="S1" s="109" t="s">
        <v>1411</v>
      </c>
    </row>
    <row r="2" spans="2:76" ht="48" customHeight="1">
      <c r="D2" s="357"/>
      <c r="E2" s="193"/>
      <c r="F2">
        <f>SUM(G4:G59)</f>
        <v>5</v>
      </c>
      <c r="G2">
        <f>SUM(G60:G95)</f>
        <v>0</v>
      </c>
      <c r="H2" s="294">
        <f>AVERAGE(H4:H59)</f>
        <v>0.8</v>
      </c>
      <c r="I2" s="294" t="e">
        <f>AVERAGE(H60:H95)</f>
        <v>#DIV/0!</v>
      </c>
      <c r="K2">
        <f>F2-M2</f>
        <v>4</v>
      </c>
      <c r="L2">
        <f>G2-O2</f>
        <v>0</v>
      </c>
      <c r="M2">
        <f>SUM(O4:P59)</f>
        <v>1</v>
      </c>
      <c r="O2">
        <f>SUM(O60:P95)</f>
        <v>0</v>
      </c>
      <c r="Q2" s="275">
        <v>45331</v>
      </c>
      <c r="S2" s="602" t="s">
        <v>1412</v>
      </c>
      <c r="T2" s="539" t="s">
        <v>1413</v>
      </c>
      <c r="U2" s="539" t="s">
        <v>1414</v>
      </c>
      <c r="V2" s="539" t="s">
        <v>1415</v>
      </c>
      <c r="W2" s="538" t="s">
        <v>1416</v>
      </c>
      <c r="X2" s="538"/>
      <c r="Y2" s="538"/>
      <c r="Z2" s="538"/>
      <c r="AA2" s="538"/>
      <c r="AB2" s="588" t="s">
        <v>1417</v>
      </c>
      <c r="AC2" s="589"/>
      <c r="AD2" s="589"/>
      <c r="AE2" s="589"/>
      <c r="AF2" s="536"/>
      <c r="AG2" s="543" t="s">
        <v>1418</v>
      </c>
      <c r="AH2" s="544"/>
      <c r="AV2" s="538" t="s">
        <v>1419</v>
      </c>
      <c r="AW2" s="538"/>
      <c r="AX2" s="538"/>
      <c r="AY2" s="538"/>
      <c r="AZ2" s="538"/>
      <c r="BA2" s="538"/>
      <c r="BB2" s="538"/>
      <c r="BC2" s="538"/>
      <c r="BD2" s="538"/>
      <c r="BE2" s="538"/>
      <c r="BF2" s="538"/>
      <c r="BG2" s="538"/>
      <c r="BH2" s="538"/>
      <c r="BI2" s="538"/>
      <c r="BJ2" s="538"/>
      <c r="BK2" s="538"/>
      <c r="BL2" s="538"/>
      <c r="BM2" s="538"/>
      <c r="BN2" s="538"/>
      <c r="BO2" s="538"/>
      <c r="BP2" s="538"/>
      <c r="BQ2" s="538"/>
      <c r="BR2" s="538"/>
      <c r="BS2" s="538"/>
      <c r="BT2" s="538"/>
      <c r="BU2" s="538"/>
      <c r="BV2" s="538"/>
      <c r="BW2" s="542"/>
    </row>
    <row r="3" spans="2:76" ht="37.5" customHeight="1">
      <c r="B3" s="3" t="s">
        <v>1420</v>
      </c>
      <c r="C3" s="166" t="s">
        <v>1381</v>
      </c>
      <c r="D3" s="166" t="s">
        <v>1421</v>
      </c>
      <c r="E3" s="173" t="s">
        <v>1753</v>
      </c>
      <c r="F3" s="173" t="s">
        <v>1423</v>
      </c>
      <c r="G3" s="173" t="s">
        <v>1424</v>
      </c>
      <c r="H3" s="173" t="s">
        <v>1425</v>
      </c>
      <c r="I3" s="173" t="s">
        <v>212</v>
      </c>
      <c r="J3" s="173" t="s">
        <v>1426</v>
      </c>
      <c r="K3" s="173" t="s">
        <v>1427</v>
      </c>
      <c r="L3" s="173" t="s">
        <v>1754</v>
      </c>
      <c r="M3" s="173" t="s">
        <v>1431</v>
      </c>
      <c r="N3" s="3"/>
      <c r="O3" s="173" t="s">
        <v>1432</v>
      </c>
      <c r="P3" s="173" t="s">
        <v>1433</v>
      </c>
      <c r="Q3" s="193" t="s">
        <v>1434</v>
      </c>
      <c r="R3" s="193"/>
      <c r="S3" s="536"/>
      <c r="T3" s="540"/>
      <c r="U3" s="540"/>
      <c r="V3" s="540"/>
      <c r="W3" s="362">
        <v>45314</v>
      </c>
      <c r="X3" s="362">
        <v>45315</v>
      </c>
      <c r="Y3" s="362">
        <v>45316</v>
      </c>
      <c r="Z3" s="362">
        <v>45317</v>
      </c>
      <c r="AA3" s="362">
        <v>45318</v>
      </c>
      <c r="AB3" s="362">
        <v>45320</v>
      </c>
      <c r="AC3" s="362">
        <v>45321</v>
      </c>
      <c r="AD3" s="362">
        <v>45322</v>
      </c>
      <c r="AE3" s="362">
        <v>45323</v>
      </c>
      <c r="AF3" s="362">
        <v>45324</v>
      </c>
      <c r="AG3" s="362">
        <v>45329</v>
      </c>
      <c r="AH3" s="362">
        <v>45331</v>
      </c>
      <c r="AV3" s="267"/>
      <c r="AW3" s="540" t="s">
        <v>1435</v>
      </c>
      <c r="AX3" s="545"/>
      <c r="AY3" s="545"/>
      <c r="AZ3" s="545"/>
      <c r="BA3" s="545"/>
      <c r="BB3" s="545"/>
      <c r="BC3" s="545"/>
      <c r="BD3" s="545"/>
      <c r="BE3" s="545"/>
      <c r="BF3" s="545"/>
      <c r="BG3" s="545"/>
      <c r="BH3" s="109"/>
      <c r="BI3" s="535" t="s">
        <v>1436</v>
      </c>
      <c r="BJ3" s="535"/>
      <c r="BK3" s="535"/>
      <c r="BL3" s="535"/>
      <c r="BM3" s="535"/>
      <c r="BN3" s="535"/>
      <c r="BO3" s="109"/>
      <c r="BP3" s="535" t="s">
        <v>1437</v>
      </c>
      <c r="BQ3" s="535"/>
      <c r="BR3" s="535"/>
      <c r="BS3" s="535"/>
      <c r="BT3" s="535"/>
      <c r="BV3" s="543" t="s">
        <v>1438</v>
      </c>
      <c r="BW3" s="544"/>
    </row>
    <row r="4" spans="2:76" ht="12.6">
      <c r="B4" s="3">
        <f t="shared" ref="B4:B35" si="0">ROW()-3</f>
        <v>1</v>
      </c>
      <c r="C4" s="4"/>
      <c r="D4" s="132"/>
      <c r="E4" s="4"/>
      <c r="F4" s="284">
        <v>45352</v>
      </c>
      <c r="G4" s="132">
        <v>5</v>
      </c>
      <c r="H4" s="368">
        <f>(G4-O4)/G4</f>
        <v>0.8</v>
      </c>
      <c r="I4" s="4"/>
      <c r="J4" s="4"/>
      <c r="K4" s="369"/>
      <c r="L4" s="369"/>
      <c r="M4" s="364"/>
      <c r="N4" s="284"/>
      <c r="O4" s="132">
        <v>1</v>
      </c>
      <c r="P4" s="132"/>
      <c r="S4" s="187" t="s">
        <v>178</v>
      </c>
      <c r="T4" s="3">
        <f>COUNTIFS($I$4:$I$100,$N$27,$K$4:$K$100,$N29)</f>
        <v>0</v>
      </c>
      <c r="U4" s="3">
        <f>COUNTIFS($I$4:$I$100,$N$27,$K$4:$K$100,$N31)</f>
        <v>0</v>
      </c>
      <c r="V4" s="3">
        <f>COUNTIFS($I$4:$I$100,N27,$K$4:$K$100,N30)</f>
        <v>0</v>
      </c>
      <c r="W4" s="3">
        <f>COUNTIFS($I$4:$I$100,$N27,$K$4:$K$100,$N$4)</f>
        <v>0</v>
      </c>
      <c r="X4" s="172">
        <f>COUNTIFS($I$4:$I$100,$N27,$K$4:$K$100,N5)</f>
        <v>0</v>
      </c>
      <c r="Y4" s="172">
        <f>COUNTIFS($I$4:$I$100,$N27,$K$4:$K$100,N6)</f>
        <v>0</v>
      </c>
      <c r="Z4" s="172">
        <f>COUNTIFS($I$4:$I$100,$N27,$K$4:$K$100,N7)</f>
        <v>0</v>
      </c>
      <c r="AA4" s="3">
        <f>COUNTIFS($I$4:$I$100,$N27,$K$4:$K$100,N8)</f>
        <v>0</v>
      </c>
      <c r="AB4" s="3">
        <f>COUNTIFS($I$4:$I$100,$N27,$K$4:$K$100,N9)</f>
        <v>0</v>
      </c>
      <c r="AC4" s="3">
        <f>COUNTIFS($I$4:$I$100,$N27,$K$4:$K$100,N10)</f>
        <v>0</v>
      </c>
      <c r="AD4" s="172">
        <f>COUNTIFS($I$4:$I$100,$N27,$K$4:$K$100,N11)</f>
        <v>0</v>
      </c>
      <c r="AE4" s="172">
        <f>COUNTIFS($I$4:$I$100,$N27,$K$4:$K$100,N12)</f>
        <v>0</v>
      </c>
      <c r="AF4" s="172">
        <f>COUNTIFS($I$4:$I$100,$N27,$K$4:$K$100,N13)</f>
        <v>0</v>
      </c>
      <c r="AG4" s="172">
        <f>COUNTIFS($I$4:$I$100,$N27,$K$4:$K$100,N16)</f>
        <v>0</v>
      </c>
      <c r="AH4" s="172">
        <f>COUNTIFS($I$4:$I$100,$N27,$K$4:$K$100,N18)</f>
        <v>0</v>
      </c>
      <c r="AV4" s="172" t="s">
        <v>1441</v>
      </c>
      <c r="AW4" s="287">
        <v>45328</v>
      </c>
      <c r="AX4" s="288">
        <v>45330</v>
      </c>
      <c r="AY4" s="288">
        <v>45331</v>
      </c>
      <c r="AZ4" s="288">
        <v>45334</v>
      </c>
      <c r="BA4" s="288">
        <v>45335</v>
      </c>
      <c r="BB4" s="288">
        <v>45336</v>
      </c>
      <c r="BC4" s="288">
        <v>45337</v>
      </c>
      <c r="BD4" s="288">
        <v>45338</v>
      </c>
      <c r="BE4" s="288">
        <v>45341</v>
      </c>
      <c r="BF4" s="288">
        <v>45342</v>
      </c>
      <c r="BG4" s="288">
        <v>45343</v>
      </c>
      <c r="BH4" s="109"/>
      <c r="BI4" s="172"/>
      <c r="BJ4" s="289">
        <v>1</v>
      </c>
      <c r="BK4" s="166" t="s">
        <v>1442</v>
      </c>
      <c r="BL4" s="166" t="s">
        <v>1443</v>
      </c>
      <c r="BM4" s="166" t="s">
        <v>1444</v>
      </c>
      <c r="BN4" s="166" t="s">
        <v>1445</v>
      </c>
      <c r="BO4" s="109"/>
      <c r="BP4" s="172"/>
      <c r="BQ4" s="290" t="s">
        <v>389</v>
      </c>
      <c r="BR4" s="290" t="s">
        <v>168</v>
      </c>
      <c r="BS4" s="290" t="s">
        <v>174</v>
      </c>
      <c r="BT4" s="290" t="s">
        <v>178</v>
      </c>
      <c r="BV4" s="292" t="s">
        <v>1441</v>
      </c>
      <c r="BW4" s="109" t="s">
        <v>1446</v>
      </c>
    </row>
    <row r="5" spans="2:76" ht="11.1">
      <c r="B5" s="3">
        <f t="shared" si="0"/>
        <v>2</v>
      </c>
      <c r="C5" s="4"/>
      <c r="D5" s="3"/>
      <c r="E5" s="4"/>
      <c r="F5" s="284"/>
      <c r="G5" s="3"/>
      <c r="H5" s="363"/>
      <c r="I5" s="4"/>
      <c r="J5" s="4"/>
      <c r="K5" s="284"/>
      <c r="L5" s="284"/>
      <c r="M5" s="277"/>
      <c r="N5" s="284"/>
      <c r="O5" s="3"/>
      <c r="P5" s="3"/>
      <c r="S5" s="187" t="s">
        <v>174</v>
      </c>
      <c r="T5" s="3">
        <f>COUNTIFS($I$4:$I$100,$N$26,$K$4:$K$100,$N29)</f>
        <v>0</v>
      </c>
      <c r="U5" s="3">
        <f>COUNTIFS($I$4:$I$100,$N$26,$K$4:$K$100,$N31)</f>
        <v>0</v>
      </c>
      <c r="V5" s="3">
        <f>COUNTIFS($I$4:$I$100,N26,$K$4:$K$100,N30)</f>
        <v>0</v>
      </c>
      <c r="W5" s="3">
        <f>COUNTIFS($I$4:$I$100,$N26,$K$4:$K$100,N4)</f>
        <v>0</v>
      </c>
      <c r="X5" s="3">
        <f>COUNTIFS($I$4:$I$100,$N26,$K$4:$K$100,N5)</f>
        <v>0</v>
      </c>
      <c r="Y5" s="172">
        <f>COUNTIFS($I$4:$I$100,$N26,$K$4:$K$100,N6)</f>
        <v>0</v>
      </c>
      <c r="Z5" s="172">
        <f>COUNTIFS($I$4:$I$100,$N26,$K$4:K$100,N7)</f>
        <v>0</v>
      </c>
      <c r="AA5" s="172">
        <f>COUNTIFS($I$4:$I$100,$N26,$K$4:$K$100,N8)</f>
        <v>0</v>
      </c>
      <c r="AB5" s="172">
        <f>COUNTIFS($I$4:$I$100,$N26,$K$4:K$100,N9)</f>
        <v>0</v>
      </c>
      <c r="AC5" s="172">
        <f>COUNTIFS($I$4:$I$100,$N26,$K$4:$K$100,N10)</f>
        <v>0</v>
      </c>
      <c r="AD5" s="172">
        <f>COUNTIFS($I$4:$I$100,$N26,$K$4:$K$100,N11)</f>
        <v>0</v>
      </c>
      <c r="AE5" s="172">
        <f>COUNTIFS($I$4:$I$100,$N26,$K$4:$K$100,N12)</f>
        <v>0</v>
      </c>
      <c r="AF5" s="172">
        <f>COUNTIFS($I$4:$I$100,$N26,$K$4:$K$100,$N13)</f>
        <v>0</v>
      </c>
      <c r="AG5" s="3">
        <f>COUNTIFS($I$4:$I$100,$N26,$K$4:$K$100,N16)</f>
        <v>0</v>
      </c>
      <c r="AH5" s="3">
        <f>COUNTIFS($I$4:$I$100,$N26,$K$4:$K$100,N18)</f>
        <v>0</v>
      </c>
      <c r="AV5" s="92" t="s">
        <v>1385</v>
      </c>
      <c r="AW5" s="3" t="e">
        <f>COUNTIFS($C$4:$C$95,$AV5,$F$4:$F$95,"",#REF!,AW$4)</f>
        <v>#REF!</v>
      </c>
      <c r="AX5" s="3" t="e">
        <f>COUNTIFS($C$4:$C$95,$AV5,$F$4:$F$95,"",#REF!,AX$4)</f>
        <v>#REF!</v>
      </c>
      <c r="AY5" s="3" t="e">
        <f>COUNTIFS($C$4:$C$95,$AV5,$F$4:$F$95,"",#REF!,AY$4)</f>
        <v>#REF!</v>
      </c>
      <c r="AZ5" s="3" t="e">
        <f>COUNTIFS($C$4:$C$95,$AV5,$F$4:$F$95,"",#REF!,AZ$4)</f>
        <v>#REF!</v>
      </c>
      <c r="BA5" s="3" t="e">
        <f>COUNTIFS($C$4:$C$95,$AV5,$F$4:$F$95,"",#REF!,BA$4)</f>
        <v>#REF!</v>
      </c>
      <c r="BB5" s="3" t="e">
        <f>COUNTIFS($C$4:$C$95,$AV5,$F$4:$F$95,"",#REF!,BB$4)</f>
        <v>#REF!</v>
      </c>
      <c r="BC5" s="3" t="e">
        <f>COUNTIFS($C$4:$C$95,$AV5,$F$4:$F$95,"",#REF!,BC$4)</f>
        <v>#REF!</v>
      </c>
      <c r="BD5" s="3" t="e">
        <f>COUNTIFS($C$4:$C$95,$AV5,$F$4:$F$95,"",#REF!,BD$4)</f>
        <v>#REF!</v>
      </c>
      <c r="BE5" s="3" t="e">
        <f>COUNTIFS($C$4:$C$95,$AV5,$F$4:$F$95,"",#REF!,BE$4)</f>
        <v>#REF!</v>
      </c>
      <c r="BF5" s="3" t="e">
        <f>COUNTIFS($C$4:$C$95,$AV5,$F$4:$F$95,"",#REF!,BF$4)</f>
        <v>#REF!</v>
      </c>
      <c r="BG5" s="3" t="e">
        <f>COUNTIFS($C$4:$C$95,$AV5,$F$4:$F$95,"",#REF!,BG$4)</f>
        <v>#REF!</v>
      </c>
      <c r="BI5" s="3" t="s">
        <v>1385</v>
      </c>
      <c r="BJ5" s="3">
        <f>COUNTIFS($C$4:$C$95,BI5,$F$4:$F$95,"",$H$4:$H$95,"=100%")</f>
        <v>0</v>
      </c>
      <c r="BK5" s="3">
        <f>COUNTIFS($C$4:$C$95,BI5,$F$4:$F$95,"",$H$4:$H$95,"&gt;=80%",$H$4:$H$95,"&lt;=99%")</f>
        <v>0</v>
      </c>
      <c r="BL5" s="3">
        <f>COUNTIFS($C$4:$C$95,$BI5,$F$4:$F$95,"",$H$4:$H$95,"&gt;=50%",$H$4:$H$95,"&lt;=79%")</f>
        <v>0</v>
      </c>
      <c r="BM5" s="3">
        <f>COUNTIFS($C$4:$C$95,$BI5,$F$4:$F$95,"",$H$4:$H$95,"&gt;=10%",$H$4:$H$95,"&lt;=49%")</f>
        <v>0</v>
      </c>
      <c r="BN5" s="3">
        <f>COUNTIFS($C$4:$C$95,BI5,$F$4:$F$95,"",$H$4:$H$95,"&lt;10%")</f>
        <v>0</v>
      </c>
      <c r="BP5" s="3" t="s">
        <v>1385</v>
      </c>
      <c r="BQ5" s="3">
        <f>COUNTIFS($C$4:$C$95,$BP$5,$F$4:$F$95,"",$I$4:$I$95,BQ$4)</f>
        <v>0</v>
      </c>
      <c r="BR5" s="3">
        <f>COUNTIFS($C$4:$C$95,$BP5,$F$4:$F$95,"",$I$4:$I$95,$BR$4)</f>
        <v>0</v>
      </c>
      <c r="BS5" s="3">
        <f>COUNTIFS($C$4:$C$95,$BP5,$F$4:$F$95,"",$I$4:$I$95,$BS$4)</f>
        <v>0</v>
      </c>
      <c r="BT5" s="3">
        <f>COUNTIFS($C$4:$C$95,$BP5,$F$4:$F$95,"",$I$4:$I$95,$BT$4)</f>
        <v>0</v>
      </c>
      <c r="BV5" s="2" t="s">
        <v>1385</v>
      </c>
      <c r="BW5" s="3">
        <f>COUNTIFS(C$4:C$95,BV5,E$4:E$95,"Y")</f>
        <v>0</v>
      </c>
      <c r="BX5" t="s">
        <v>1449</v>
      </c>
    </row>
    <row r="6" spans="2:76" ht="11.1">
      <c r="B6" s="3">
        <f t="shared" si="0"/>
        <v>3</v>
      </c>
      <c r="C6" s="4"/>
      <c r="D6" s="3"/>
      <c r="E6" s="4"/>
      <c r="F6" s="284"/>
      <c r="G6" s="3"/>
      <c r="H6" s="363"/>
      <c r="I6" s="4"/>
      <c r="J6" s="4"/>
      <c r="K6" s="284"/>
      <c r="L6" s="284"/>
      <c r="M6" s="277"/>
      <c r="N6" s="284"/>
      <c r="O6" s="3"/>
      <c r="P6" s="3"/>
      <c r="S6" s="187" t="s">
        <v>168</v>
      </c>
      <c r="T6" s="3">
        <f>COUNTIFS($I$4:$I$100,$N$25,$K$4:$K$100,$N$29)</f>
        <v>0</v>
      </c>
      <c r="U6" s="3">
        <f>COUNTIFS($I$4:$I$100,$N$25,$K$4:$K$100,$N$31)</f>
        <v>0</v>
      </c>
      <c r="V6" s="3">
        <f>COUNTIFS($I$4:$I$100,$N25,$K$4:$K$100,N30)</f>
        <v>0</v>
      </c>
      <c r="W6" s="172">
        <f>COUNTIFS($I$4:$I$100,$N25,$K$4:$K$100,N4)</f>
        <v>0</v>
      </c>
      <c r="X6" s="3">
        <f>COUNTIFS($I$4:$I$100,$N25,$K$4:$K$100,N5)</f>
        <v>0</v>
      </c>
      <c r="Y6" s="3">
        <f>COUNTIFS($I$4:$I$100,$N25,$K$4:$K$100,N6)</f>
        <v>0</v>
      </c>
      <c r="Z6" s="172">
        <f>COUNTIFS($I$4:$I$100,$N25,$K$4:$K$100,N7)</f>
        <v>0</v>
      </c>
      <c r="AA6" s="3">
        <f>COUNTIFS($I$4:$I$100,$N25,$K$4:$K$100,N8)</f>
        <v>0</v>
      </c>
      <c r="AB6" s="3">
        <f>COUNTIFS($I$4:$I$100,$N25,$K$4:$K$100,N9)</f>
        <v>0</v>
      </c>
      <c r="AC6" s="3">
        <f>COUNTIFS($I$4:$I$100,$N25,$K$4:$K$100,N10)</f>
        <v>0</v>
      </c>
      <c r="AD6" s="172">
        <f>COUNTIFS($I$4:$I$100,$N25,$K$4:$K$100,N11)</f>
        <v>0</v>
      </c>
      <c r="AE6" s="3">
        <f>COUNTIFS($I$4:$I$100,$N25,$K$4:$K$100,N12)</f>
        <v>0</v>
      </c>
      <c r="AF6" s="172">
        <f>COUNTIFS($I$4:$I$100,$N25,$K$4:$K$100,$N13)</f>
        <v>0</v>
      </c>
      <c r="AG6" s="3">
        <f>COUNTIFS($I$4:$I$100,$N25,$K$4:$K$100,N16)</f>
        <v>0</v>
      </c>
      <c r="AH6" s="3">
        <f>COUNTIFS($I$4:$I$100,$N25,$K$4:$K$100,N18)</f>
        <v>0</v>
      </c>
      <c r="AV6" s="3" t="s">
        <v>1386</v>
      </c>
      <c r="AW6" s="3" t="e">
        <f>COUNTIFS($C$4:$C$95,$AV6,$F$4:$F$95,"",#REF!,AW$4)</f>
        <v>#REF!</v>
      </c>
      <c r="AX6" s="3" t="e">
        <f>COUNTIFS($C$4:$C$95,$AV6,$F$4:$F$95,"",#REF!,AX$4)</f>
        <v>#REF!</v>
      </c>
      <c r="AY6" s="3" t="e">
        <f>COUNTIFS($C$4:$C$95,$AV6,$F$4:$F$95,"",#REF!,AY$4)</f>
        <v>#REF!</v>
      </c>
      <c r="AZ6" s="3" t="e">
        <f>COUNTIFS($C$4:$C$95,$AV6,$F$4:$F$95,"",#REF!,AZ$4)</f>
        <v>#REF!</v>
      </c>
      <c r="BA6" s="3" t="e">
        <f>COUNTIFS($C$4:$C$95,$AV6,$F$4:$F$95,"",#REF!,BA$4)</f>
        <v>#REF!</v>
      </c>
      <c r="BB6" s="3" t="e">
        <f>COUNTIFS($C$4:$C$95,$AV6,$F$4:$F$95,"",#REF!,BB$4)</f>
        <v>#REF!</v>
      </c>
      <c r="BC6" s="3" t="e">
        <f>COUNTIFS($C$4:$C$95,$AV6,$F$4:$F$95,"",#REF!,BC$4)</f>
        <v>#REF!</v>
      </c>
      <c r="BD6" s="3" t="e">
        <f>COUNTIFS($C$4:$C$95,$AV6,$F$4:$F$95,"",#REF!,BD$4)</f>
        <v>#REF!</v>
      </c>
      <c r="BE6" s="3" t="e">
        <f>COUNTIFS($C$4:$C$95,$AV6,$F$4:$F$95,"",#REF!,BE$4)</f>
        <v>#REF!</v>
      </c>
      <c r="BF6" s="3" t="e">
        <f>COUNTIFS($C$4:$C$95,$AV6,$F$4:$F$95,"",#REF!,BF$4)</f>
        <v>#REF!</v>
      </c>
      <c r="BG6" s="3" t="e">
        <f>COUNTIFS($C$4:$C$95,$AV6,$F$4:$F$95,"",#REF!,BG$4)</f>
        <v>#REF!</v>
      </c>
      <c r="BI6" s="3" t="s">
        <v>1386</v>
      </c>
      <c r="BJ6" s="3">
        <f>COUNTIFS($C$4:$C$95,BI6,$F$4:$F$95,"",$H$4:$H$95,"=100%")</f>
        <v>0</v>
      </c>
      <c r="BK6" s="3">
        <f>COUNTIFS($C$4:$C$95,BI6,$F$4:$F$95,"",$H$4:$H$95,"&gt;=80%",$H$4:$H$95,"&lt;=99%")</f>
        <v>0</v>
      </c>
      <c r="BL6" s="3">
        <f>COUNTIFS($C$4:$C$95,BI6,$F$4:$F$95,"",$H$4:$H$95,"&gt;=50%",$H$4:$H$95,"&lt;=79%")</f>
        <v>0</v>
      </c>
      <c r="BM6" s="3">
        <f>COUNTIFS($C$4:$C$95,$BI6,$F$4:$F$95,"",$H$4:$H$95,"&gt;10%",$H$4:$H$95,"&lt;=49%")</f>
        <v>0</v>
      </c>
      <c r="BN6" s="3">
        <f>COUNTIFS($C$4:$C$95,BI6,$F$4:$F$95,"",$H$4:$H$95,"&lt;10%")</f>
        <v>0</v>
      </c>
      <c r="BP6" s="3" t="s">
        <v>1386</v>
      </c>
      <c r="BQ6" s="3">
        <f>COUNTIFS($C$4:$C$95,BP6,$F$4:$F$95,"",$I$4:$I$95,$BQ$4)</f>
        <v>0</v>
      </c>
      <c r="BR6" s="3">
        <f>COUNTIFS($C$4:$C$95,$BP6,$F$4:$F$95,"",$I$4:$I$95,$BR$4)</f>
        <v>0</v>
      </c>
      <c r="BS6" s="3">
        <f>COUNTIFS($C$4:$C$95,$BP6,$F$4:$F$95,"",$I$4:$I$95,$BS$4)</f>
        <v>0</v>
      </c>
      <c r="BT6" s="3">
        <f>COUNTIFS($C$4:$C$95,$BP6,$F$4:$F$95,"",$I$4:$I$95,$BT$4)</f>
        <v>0</v>
      </c>
      <c r="BV6" s="81" t="s">
        <v>1386</v>
      </c>
      <c r="BW6" s="3">
        <f>COUNTIFS(C$4:C$95,BV6,E$4:E$95,"Y")</f>
        <v>0</v>
      </c>
    </row>
    <row r="7" spans="2:76" ht="11.1">
      <c r="B7" s="3">
        <f t="shared" si="0"/>
        <v>4</v>
      </c>
      <c r="C7" s="4"/>
      <c r="D7" s="3"/>
      <c r="E7" s="4"/>
      <c r="F7" s="284"/>
      <c r="G7" s="3"/>
      <c r="H7" s="363"/>
      <c r="I7" s="4"/>
      <c r="J7" s="4"/>
      <c r="K7" s="284"/>
      <c r="L7" s="284"/>
      <c r="M7" s="5"/>
      <c r="N7" s="284"/>
      <c r="O7" s="3"/>
      <c r="P7" s="3"/>
      <c r="S7" s="187" t="s">
        <v>389</v>
      </c>
      <c r="T7" s="3">
        <f>COUNTIFS($I$4:$I$100,$N$24,$K$4:$K$100,$N29)</f>
        <v>0</v>
      </c>
      <c r="U7" s="3">
        <f>COUNTIFS($I$4:$I$100,$N$24,$K$4:$K$100,$N31)</f>
        <v>0</v>
      </c>
      <c r="V7" s="3">
        <f>COUNTIFS($I$4:$I$100,$N24,$K$4:$K$100,N30)</f>
        <v>0</v>
      </c>
      <c r="W7" s="172">
        <f>COUNTIFS($I$4:$I$100,$N24,$K$4:$K$100,N4)</f>
        <v>0</v>
      </c>
      <c r="X7" s="3">
        <f>COUNTIFS($I$4:$I$100,$N24,$K$4:$K$100,N5)</f>
        <v>0</v>
      </c>
      <c r="Y7" s="3">
        <f>COUNTIFS($I$4:$I$100,$N24,$K$4:$K$100,N6)</f>
        <v>0</v>
      </c>
      <c r="Z7" s="172">
        <f>COUNTIFS($I$4:$I$100,$N24,$K$4:$K$100,N7)</f>
        <v>0</v>
      </c>
      <c r="AA7" s="3">
        <f>COUNTIFS($I$4:$I$100,$N24,$K$4:$K$100,N8)</f>
        <v>0</v>
      </c>
      <c r="AB7" s="3">
        <f>COUNTIFS($I$4:$I$100,$N24,$K$4:$K$100,N9)</f>
        <v>0</v>
      </c>
      <c r="AC7" s="3">
        <f>COUNTIFS($I$4:$I$100,$N24,$K$4:$K$100,N10)</f>
        <v>0</v>
      </c>
      <c r="AD7" s="172">
        <f>COUNTIFS($I$4:$I$100,$N24,$K$4:$K$100,N11)</f>
        <v>0</v>
      </c>
      <c r="AE7" s="3">
        <f>COUNTIFS($I$4:$I$100,$N24,$K$4:$K$100,N12)</f>
        <v>0</v>
      </c>
      <c r="AF7" s="3">
        <f>COUNTIFS($I$4:$I$100,$N24,$K$4:$K$100,$N13)</f>
        <v>0</v>
      </c>
      <c r="AG7" s="3">
        <f>COUNTIFS($I$4:$I$100,$N24,$K$4:$K$100,N16)</f>
        <v>0</v>
      </c>
      <c r="AH7" s="3">
        <f>COUNTIFS($I$4:$I$100,$N24,$K$4:$K$100,N18)</f>
        <v>0</v>
      </c>
      <c r="AV7" s="3" t="s">
        <v>1387</v>
      </c>
      <c r="AW7" s="3" t="e">
        <f>COUNTIFS($C$4:$C$95,$AV7,$F$4:$F$95,"",#REF!,AW$4)</f>
        <v>#REF!</v>
      </c>
      <c r="AX7" s="3" t="e">
        <f>COUNTIFS($C$4:$C$95,$AV7,$F$4:$F$95,"",#REF!,AX$4)</f>
        <v>#REF!</v>
      </c>
      <c r="AY7" s="3" t="e">
        <f>COUNTIFS($C$4:$C$95,$AV7,$F$4:$F$95,"",#REF!,AY$4)</f>
        <v>#REF!</v>
      </c>
      <c r="AZ7" s="3" t="e">
        <f>COUNTIFS($C$4:$C$95,$AV7,$F$4:$F$95,"",#REF!,AZ$4)</f>
        <v>#REF!</v>
      </c>
      <c r="BA7" s="3" t="e">
        <f>COUNTIFS($C$4:$C$95,$AV7,$F$4:$F$95,"",#REF!,BA$4)</f>
        <v>#REF!</v>
      </c>
      <c r="BB7" s="3" t="e">
        <f>COUNTIFS($C$4:$C$95,$AV7,$F$4:$F$95,"",#REF!,BB$4)</f>
        <v>#REF!</v>
      </c>
      <c r="BC7" s="3" t="e">
        <f>COUNTIFS($C$4:$C$95,$AV7,$F$4:$F$95,"",#REF!,BC$4)</f>
        <v>#REF!</v>
      </c>
      <c r="BD7" s="3" t="e">
        <f>COUNTIFS($C$4:$C$95,$AV7,$F$4:$F$95,"",#REF!,BD$4)</f>
        <v>#REF!</v>
      </c>
      <c r="BE7" s="3" t="e">
        <f>COUNTIFS($C$4:$C$95,$AV7,$F$4:$F$95,"",#REF!,BE$4)</f>
        <v>#REF!</v>
      </c>
      <c r="BF7" s="3" t="e">
        <f>COUNTIFS($C$4:$C$95,$AV7,$F$4:$F$95,"",#REF!,BF$4)</f>
        <v>#REF!</v>
      </c>
      <c r="BG7" s="3" t="e">
        <f>COUNTIFS($C$4:$C$95,$AV7,$F$4:$F$95,"",#REF!,BG$4)</f>
        <v>#REF!</v>
      </c>
      <c r="BI7" s="3" t="s">
        <v>1387</v>
      </c>
      <c r="BJ7" s="3">
        <f>COUNTIFS($C$4:$C$95,BI7,$F$4:$F$95,"",$H$4:$H$95,"=100%")</f>
        <v>0</v>
      </c>
      <c r="BK7" s="3">
        <f>COUNTIFS($C$4:$C$95,BI7,$F$4:$F$95,"",$H$4:$H$95,"&gt;=80%",$H$4:$H$95,"&lt;=99%")</f>
        <v>0</v>
      </c>
      <c r="BL7" s="3">
        <f>COUNTIFS($C$4:$C$95,BI7,$F$4:$F$95,"",$H$4:$H$95,"&gt;=50%",$H$4:$H$95,"&lt;=79%")</f>
        <v>0</v>
      </c>
      <c r="BM7" s="3">
        <f>COUNTIFS($C$4:$C$95,$BI7,$F$4:$F$95,"",$H$4:$H$95,"&gt;=10%",$H$4:$H$95,"&lt;=49%")</f>
        <v>0</v>
      </c>
      <c r="BN7" s="3">
        <f>COUNTIFS($C$4:$C$95,BI7,$F$4:$F$95,"",$H$4:$H$95,"&lt;10%")</f>
        <v>0</v>
      </c>
      <c r="BP7" s="3" t="s">
        <v>1387</v>
      </c>
      <c r="BQ7" s="3">
        <f>COUNTIFS($C$4:$C$95,BP7,$F$4:$F$95,"",$I$4:$I$95,$BQ$4)</f>
        <v>0</v>
      </c>
      <c r="BR7" s="3">
        <f>COUNTIFS($C$4:$C$95,$BP7,$F$4:$F$95,"",$I$4:$I$95,$BR$4)</f>
        <v>0</v>
      </c>
      <c r="BS7" s="3">
        <f>COUNTIFS($C$4:$C$95,$BP7,$F$4:$F$95,"",$I$4:$I$95,$BS$4)</f>
        <v>0</v>
      </c>
      <c r="BT7" s="3">
        <f>COUNTIFS($C$4:$C$95,$BP7,$F$4:$F$95,"",$I$4:$I$95,$BT$4)</f>
        <v>0</v>
      </c>
      <c r="BV7" s="81" t="s">
        <v>1387</v>
      </c>
      <c r="BW7" s="3">
        <f>COUNTIFS(C$4:C$95,BV7,E$4:E$95,"Y")</f>
        <v>0</v>
      </c>
    </row>
    <row r="8" spans="2:76" ht="12" customHeight="1">
      <c r="B8" s="3">
        <f t="shared" si="0"/>
        <v>5</v>
      </c>
      <c r="C8" s="4"/>
      <c r="D8" s="3"/>
      <c r="E8" s="4"/>
      <c r="F8" s="284"/>
      <c r="G8" s="3"/>
      <c r="H8" s="363"/>
      <c r="I8" s="4"/>
      <c r="J8" s="4"/>
      <c r="K8" s="284"/>
      <c r="L8" s="284"/>
      <c r="M8" s="3"/>
      <c r="N8" s="284"/>
      <c r="O8" s="3"/>
      <c r="P8" s="3"/>
      <c r="S8" s="192" t="s">
        <v>1451</v>
      </c>
      <c r="T8" s="172">
        <f>SUM(T4:T7)</f>
        <v>0</v>
      </c>
      <c r="U8" s="172">
        <f>SUM(U4:U7)</f>
        <v>0</v>
      </c>
      <c r="V8" s="172">
        <f>SUM(V4:V7)</f>
        <v>0</v>
      </c>
      <c r="W8" s="538">
        <f>SUM(W4:AA7)</f>
        <v>0</v>
      </c>
      <c r="X8" s="538"/>
      <c r="Y8" s="538"/>
      <c r="Z8" s="538"/>
      <c r="AA8" s="538"/>
      <c r="AB8" s="166">
        <f>SUM(AB4:AF7)</f>
        <v>0</v>
      </c>
      <c r="AC8" s="166"/>
      <c r="AD8" s="166"/>
      <c r="AE8" s="166"/>
      <c r="AF8" s="166"/>
      <c r="AG8" s="166">
        <f>SUM(AG4:AH7)</f>
        <v>0</v>
      </c>
      <c r="AH8" s="166"/>
      <c r="AJ8">
        <f>SUM(T8:AH8)</f>
        <v>0</v>
      </c>
      <c r="AV8" s="3" t="s">
        <v>1388</v>
      </c>
      <c r="AW8" s="3" t="e">
        <f>COUNTIFS($C$4:$C$95,$AV8,$F$4:$F$95,"",#REF!,AW$4)</f>
        <v>#REF!</v>
      </c>
      <c r="AX8" s="3" t="e">
        <f>COUNTIFS($C$4:$C$95,$AV8,$F$4:$F$95,"",#REF!,AX$4)</f>
        <v>#REF!</v>
      </c>
      <c r="AY8" s="3" t="e">
        <f>COUNTIFS($C$4:$C$95,$AV8,$F$4:$F$95,"",#REF!,AY$4)</f>
        <v>#REF!</v>
      </c>
      <c r="AZ8" s="3" t="e">
        <f>COUNTIFS($C$4:$C$95,$AV8,$F$4:$F$95,"",#REF!,AZ$4)</f>
        <v>#REF!</v>
      </c>
      <c r="BA8" s="3" t="e">
        <f>COUNTIFS($C$4:$C$95,$AV8,$F$4:$F$95,"",#REF!,BA$4)</f>
        <v>#REF!</v>
      </c>
      <c r="BB8" s="3" t="e">
        <f>COUNTIFS($C$4:$C$95,$AV8,$F$4:$F$95,"",#REF!,BB$4)</f>
        <v>#REF!</v>
      </c>
      <c r="BC8" s="3" t="e">
        <f>COUNTIFS($C$4:$C$95,$AV8,$F$4:$F$95,"",#REF!,BC$4)</f>
        <v>#REF!</v>
      </c>
      <c r="BD8" s="3" t="e">
        <f>COUNTIFS($C$4:$C$95,$AV8,$F$4:$F$95,"",#REF!,BD$4)</f>
        <v>#REF!</v>
      </c>
      <c r="BE8" s="3" t="e">
        <f>COUNTIFS($C$4:$C$95,$AV8,$F$4:$F$95,"",#REF!,BE$4)</f>
        <v>#REF!</v>
      </c>
      <c r="BF8" s="3" t="e">
        <f>COUNTIFS($C$4:$C$95,$AV8,$F$4:$F$95,"",#REF!,BF$4)</f>
        <v>#REF!</v>
      </c>
      <c r="BG8" s="3" t="e">
        <f>COUNTIFS($C$4:$C$95,$AV8,$F$4:$F$95,"",#REF!,BG$4)</f>
        <v>#REF!</v>
      </c>
      <c r="BI8" s="3" t="s">
        <v>1388</v>
      </c>
      <c r="BJ8" s="3">
        <f>COUNTIFS($C$4:$C$95,BI8,$F$4:$F$95,"",$H$4:$H$95,"=100%")</f>
        <v>0</v>
      </c>
      <c r="BK8" s="3">
        <f>COUNTIFS($C$4:$C$95,BI8,$F$4:$F$95,"",$H$4:$H$95,"&gt;=80%",$H$4:$H$95,"&lt;=99%")</f>
        <v>0</v>
      </c>
      <c r="BL8" s="3">
        <f>COUNTIFS($C$4:$C$95,BI8,$F$4:$F$95,"",$H$4:$H$95,"&gt;=50%",$H$4:$H$95,"&lt;=79%")</f>
        <v>0</v>
      </c>
      <c r="BM8" s="3">
        <f>COUNTIFS($C$4:$C$95,$BI8,$F$4:$F$95,"",$H$4:$H$95,"&gt;=10%",$H$4:$H$95,"&lt;=49%")</f>
        <v>0</v>
      </c>
      <c r="BN8" s="3">
        <f>COUNTIFS($C$4:$C$95,BI8,$F$4:$F$95,"",$H$4:$H$95,"&lt;10%")</f>
        <v>0</v>
      </c>
      <c r="BP8" s="3" t="s">
        <v>1388</v>
      </c>
      <c r="BQ8" s="3">
        <f>COUNTIFS($C$4:$C$95,BP8,$F$4:$F$95,"",$I$4:$I$95,$BQ$4)</f>
        <v>0</v>
      </c>
      <c r="BR8" s="3">
        <f>COUNTIFS($C$4:$C$95,$BP8,$F$4:$F$95,"",$I$4:$I$95,$BR$4)</f>
        <v>0</v>
      </c>
      <c r="BS8" s="3">
        <f>COUNTIFS($C$4:$C$95,$BP8,$F$4:$F$95,"",$I$4:$I$95,$BS$4)</f>
        <v>0</v>
      </c>
      <c r="BT8" s="3">
        <f>COUNTIFS($C$4:$C$95,$BP8,$F$4:$F$95,"",$I$4:$I$95,$BT$4)</f>
        <v>0</v>
      </c>
      <c r="BV8" s="81" t="s">
        <v>1388</v>
      </c>
      <c r="BW8" s="3">
        <f>COUNTIFS(C$4:C$95,BV8,E$4:E$95,"Y")</f>
        <v>0</v>
      </c>
    </row>
    <row r="9" spans="2:76" ht="11.1">
      <c r="B9" s="3">
        <f t="shared" si="0"/>
        <v>6</v>
      </c>
      <c r="C9" s="4"/>
      <c r="D9" s="3"/>
      <c r="E9" s="4"/>
      <c r="F9" s="284"/>
      <c r="G9" s="3"/>
      <c r="H9" s="363"/>
      <c r="I9" s="4"/>
      <c r="J9" s="4"/>
      <c r="K9" s="284"/>
      <c r="L9" s="284"/>
      <c r="M9" s="5"/>
      <c r="N9" s="284"/>
      <c r="O9" s="3"/>
      <c r="P9" s="3"/>
      <c r="AV9" s="87" t="s">
        <v>1389</v>
      </c>
      <c r="AW9" s="87" t="e">
        <f>COUNTIFS($C$4:$C$95,$AV9,$F$4:$F$95,"",#REF!,AW$4)</f>
        <v>#REF!</v>
      </c>
      <c r="AX9" s="87" t="e">
        <f>COUNTIFS($C$4:$C$95,$AV9,$F$4:$F$95,"",#REF!,AX$4)</f>
        <v>#REF!</v>
      </c>
      <c r="AY9" s="87" t="e">
        <f>COUNTIFS($C$4:$C$95,$AV9,$F$4:$F$95,"",#REF!,AY$4)</f>
        <v>#REF!</v>
      </c>
      <c r="AZ9" s="87" t="e">
        <f>COUNTIFS($C$4:$C$95,$AV9,$F$4:$F$95,"",#REF!,AZ$4)</f>
        <v>#REF!</v>
      </c>
      <c r="BA9" s="87" t="e">
        <f>COUNTIFS($C$4:$C$95,$AV9,$F$4:$F$95,"",#REF!,BA$4)</f>
        <v>#REF!</v>
      </c>
      <c r="BB9" s="87" t="e">
        <f>COUNTIFS($C$4:$C$95,$AV9,$F$4:$F$95,"",#REF!,BB$4)</f>
        <v>#REF!</v>
      </c>
      <c r="BC9" s="87" t="e">
        <f>COUNTIFS($C$4:$C$95,$AV9,$F$4:$F$95,"",#REF!,BC$4)</f>
        <v>#REF!</v>
      </c>
      <c r="BD9" s="87" t="e">
        <f>COUNTIFS($C$4:$C$95,$AV9,$F$4:$F$95,"",#REF!,BD$4)</f>
        <v>#REF!</v>
      </c>
      <c r="BE9" s="3" t="e">
        <f>COUNTIFS($C$4:$C$95,$AV9,$F$4:$F$95,"",#REF!,BE$4)</f>
        <v>#REF!</v>
      </c>
      <c r="BF9" s="87" t="e">
        <f>COUNTIFS($C$4:$C$95,$AV9,$F$4:$F$95,"",#REF!,BF$4)</f>
        <v>#REF!</v>
      </c>
      <c r="BG9" s="87" t="e">
        <f>COUNTIFS($C$4:$C$95,$AV9,$F$4:$F$95,"",#REF!,BG$4)</f>
        <v>#REF!</v>
      </c>
      <c r="BI9" s="3" t="s">
        <v>1389</v>
      </c>
      <c r="BJ9" s="3">
        <f>COUNTIFS($C$4:$C$95,BI9,$F$4:$F$95,"",$H$4:$H$95,"=100%")</f>
        <v>0</v>
      </c>
      <c r="BK9" s="3">
        <f>COUNTIFS($C$4:$C$95,BI9,$F$4:$F$95,"",$H$4:$H$95,"&gt;=80%",$H$4:$H$95,"&lt;=99%")</f>
        <v>0</v>
      </c>
      <c r="BL9" s="3">
        <f>COUNTIFS($C$4:$C$95,BI9,$F$4:$F$95,"",$H$4:$H$95,"&gt;=50%",$H$4:$H$95,"&lt;=79%")</f>
        <v>0</v>
      </c>
      <c r="BM9" s="3">
        <f>COUNTIFS($C$4:$C$95,$BI9,$F$4:$F$95,"",$H$4:$H$95,"&gt;=10%",$H$4:$H$95,"&lt;=49%")</f>
        <v>0</v>
      </c>
      <c r="BN9" s="3">
        <f>COUNTIFS($C$4:$C$95,BI9,$F$4:$F$95,"",$H$4:$H$95,"&lt;10%")</f>
        <v>0</v>
      </c>
      <c r="BP9" s="3" t="s">
        <v>1389</v>
      </c>
      <c r="BQ9" s="3">
        <f>COUNTIFS($C$4:$C$95,BP9,$F$4:$F$95,"",$I$4:$I$95,$BQ$4)</f>
        <v>0</v>
      </c>
      <c r="BR9" s="3">
        <f>COUNTIFS($C$4:$C$95,$BP9,$F$4:$F$95,"",$I$4:$I$95,$BR$4)</f>
        <v>0</v>
      </c>
      <c r="BS9" s="3">
        <f>COUNTIFS($C$4:$C$95,$BP9,$F$4:$F$95,"",$I$4:$I$95,$BS$4)</f>
        <v>0</v>
      </c>
      <c r="BT9" s="3">
        <f>COUNTIFS($C$4:$C$95,$BP9,$F$4:$F$95,"",$I$4:$I$95,$BT$4)</f>
        <v>0</v>
      </c>
      <c r="BV9" s="293" t="s">
        <v>1389</v>
      </c>
      <c r="BW9" s="3">
        <f>COUNTIFS(C$4:C$95,BV9,E$4:E$95,"Y")</f>
        <v>0</v>
      </c>
    </row>
    <row r="10" spans="2:76" ht="11.1">
      <c r="B10" s="3">
        <f t="shared" si="0"/>
        <v>7</v>
      </c>
      <c r="C10" s="4"/>
      <c r="D10" s="3"/>
      <c r="E10" s="4"/>
      <c r="F10" s="284"/>
      <c r="G10" s="3"/>
      <c r="H10" s="363"/>
      <c r="I10" s="4"/>
      <c r="J10" s="4"/>
      <c r="K10" s="284"/>
      <c r="L10" s="284"/>
      <c r="M10" s="277"/>
      <c r="N10" s="284"/>
      <c r="O10" s="3"/>
      <c r="P10" s="3"/>
      <c r="S10" s="109" t="s">
        <v>1455</v>
      </c>
      <c r="T10" s="109"/>
      <c r="U10" s="109"/>
      <c r="V10" s="109"/>
      <c r="AV10" s="172" t="s">
        <v>1451</v>
      </c>
      <c r="AW10" s="172" t="e">
        <f t="shared" ref="AW10:BG10" si="1">SUM(AW5:AW9)</f>
        <v>#REF!</v>
      </c>
      <c r="AX10" s="172" t="e">
        <f t="shared" si="1"/>
        <v>#REF!</v>
      </c>
      <c r="AY10" s="172" t="e">
        <f t="shared" si="1"/>
        <v>#REF!</v>
      </c>
      <c r="AZ10" s="172" t="e">
        <f t="shared" si="1"/>
        <v>#REF!</v>
      </c>
      <c r="BA10" s="172" t="e">
        <f t="shared" si="1"/>
        <v>#REF!</v>
      </c>
      <c r="BB10" s="172" t="e">
        <f t="shared" si="1"/>
        <v>#REF!</v>
      </c>
      <c r="BC10" s="172" t="e">
        <f t="shared" si="1"/>
        <v>#REF!</v>
      </c>
      <c r="BD10" s="172" t="e">
        <f t="shared" si="1"/>
        <v>#REF!</v>
      </c>
      <c r="BE10" s="172" t="e">
        <f t="shared" si="1"/>
        <v>#REF!</v>
      </c>
      <c r="BF10" s="172" t="e">
        <f t="shared" si="1"/>
        <v>#REF!</v>
      </c>
      <c r="BG10" s="172" t="e">
        <f t="shared" si="1"/>
        <v>#REF!</v>
      </c>
      <c r="BH10" s="286" t="e">
        <f>SUM(AW10:BG10)</f>
        <v>#REF!</v>
      </c>
      <c r="BI10" s="172" t="s">
        <v>1456</v>
      </c>
      <c r="BJ10" s="172">
        <f>SUM(BJ5:BJ9)</f>
        <v>0</v>
      </c>
      <c r="BK10" s="172">
        <f>SUM(BK5:BK9)</f>
        <v>0</v>
      </c>
      <c r="BL10" s="172">
        <f>SUM(BL5:BL9)</f>
        <v>0</v>
      </c>
      <c r="BM10" s="172">
        <f>SUM(BM5:BM9)</f>
        <v>0</v>
      </c>
      <c r="BN10" s="172">
        <f>SUM(BN5:BN9)</f>
        <v>0</v>
      </c>
      <c r="BO10" s="109">
        <f>SUM(BJ10:BN10)</f>
        <v>0</v>
      </c>
      <c r="BP10" s="172" t="s">
        <v>1456</v>
      </c>
      <c r="BQ10" s="172">
        <f>SUM(BQ5:BQ9)</f>
        <v>0</v>
      </c>
      <c r="BR10" s="172">
        <f>SUM(BR5:BR9)</f>
        <v>0</v>
      </c>
      <c r="BS10" s="172">
        <f>SUM(BS5:BS9)</f>
        <v>0</v>
      </c>
      <c r="BT10" s="172">
        <f>SUM(BT5:BT9)</f>
        <v>0</v>
      </c>
      <c r="BU10" s="286">
        <f>SUM(BQ10:BT10)</f>
        <v>0</v>
      </c>
      <c r="BV10" s="292" t="s">
        <v>1451</v>
      </c>
      <c r="BW10" s="172">
        <f>SUM(BW5:BW9)</f>
        <v>0</v>
      </c>
    </row>
    <row r="11" spans="2:76" ht="11.1" customHeight="1">
      <c r="B11" s="3">
        <f t="shared" si="0"/>
        <v>8</v>
      </c>
      <c r="C11" s="4"/>
      <c r="D11" s="3"/>
      <c r="E11" s="4"/>
      <c r="F11" s="284"/>
      <c r="G11" s="3"/>
      <c r="H11" s="363"/>
      <c r="I11" s="4"/>
      <c r="J11" s="4"/>
      <c r="K11" s="284"/>
      <c r="L11" s="284"/>
      <c r="M11" s="229"/>
      <c r="N11" s="284"/>
      <c r="O11" s="3"/>
      <c r="P11" s="3"/>
      <c r="S11" s="603" t="s">
        <v>1412</v>
      </c>
      <c r="T11" s="539" t="s">
        <v>1413</v>
      </c>
      <c r="U11" s="539" t="s">
        <v>1414</v>
      </c>
      <c r="V11" s="539" t="s">
        <v>1415</v>
      </c>
      <c r="W11" s="538" t="s">
        <v>1416</v>
      </c>
      <c r="X11" s="538"/>
      <c r="Y11" s="538"/>
      <c r="Z11" s="538"/>
      <c r="AA11" s="538"/>
      <c r="AB11" s="588" t="s">
        <v>1417</v>
      </c>
      <c r="AC11" s="589"/>
      <c r="AD11" s="589"/>
      <c r="AE11" s="589"/>
      <c r="AF11" s="536"/>
      <c r="AG11" s="543" t="s">
        <v>1418</v>
      </c>
      <c r="AH11" s="592"/>
      <c r="AI11" s="544"/>
      <c r="AJ11" s="593" t="s">
        <v>1459</v>
      </c>
      <c r="AK11" s="593"/>
    </row>
    <row r="12" spans="2:76" ht="11.1">
      <c r="B12" s="3">
        <f t="shared" si="0"/>
        <v>9</v>
      </c>
      <c r="C12" s="4"/>
      <c r="D12" s="3"/>
      <c r="E12" s="4"/>
      <c r="F12" s="284"/>
      <c r="G12" s="3"/>
      <c r="H12" s="363"/>
      <c r="I12" s="4"/>
      <c r="J12" s="4"/>
      <c r="K12" s="284"/>
      <c r="L12" s="284"/>
      <c r="M12" s="5"/>
      <c r="N12" s="284"/>
      <c r="O12" s="3"/>
      <c r="P12" s="3"/>
      <c r="S12" s="538"/>
      <c r="T12" s="540"/>
      <c r="U12" s="540"/>
      <c r="V12" s="540"/>
      <c r="W12" s="362">
        <v>45314</v>
      </c>
      <c r="X12" s="362">
        <v>45315</v>
      </c>
      <c r="Y12" s="362">
        <v>45316</v>
      </c>
      <c r="Z12" s="362">
        <v>45317</v>
      </c>
      <c r="AA12" s="362">
        <v>45318</v>
      </c>
      <c r="AB12" s="362">
        <v>45320</v>
      </c>
      <c r="AC12" s="362">
        <v>45321</v>
      </c>
      <c r="AD12" s="362">
        <v>45322</v>
      </c>
      <c r="AE12" s="362">
        <v>45323</v>
      </c>
      <c r="AF12" s="362">
        <v>45324</v>
      </c>
      <c r="AG12" s="362">
        <v>45327</v>
      </c>
      <c r="AH12" s="362">
        <v>45328</v>
      </c>
      <c r="AI12" s="362">
        <v>45329</v>
      </c>
      <c r="AJ12" s="362">
        <v>45334</v>
      </c>
      <c r="AK12" s="362">
        <v>45336</v>
      </c>
    </row>
    <row r="13" spans="2:76" ht="11.1">
      <c r="B13" s="3">
        <f t="shared" si="0"/>
        <v>10</v>
      </c>
      <c r="C13" s="4"/>
      <c r="D13" s="3"/>
      <c r="E13" s="4"/>
      <c r="F13" s="284"/>
      <c r="G13" s="3"/>
      <c r="H13" s="363"/>
      <c r="I13" s="4"/>
      <c r="J13" s="4"/>
      <c r="K13" s="284"/>
      <c r="L13" s="284"/>
      <c r="M13" s="5"/>
      <c r="N13" s="284"/>
      <c r="O13" s="3"/>
      <c r="P13" s="3"/>
      <c r="S13" s="3" t="s">
        <v>178</v>
      </c>
      <c r="T13" s="3" t="e">
        <f>COUNTIFS($I$4:$I$100,$N$27,#REF!,$N29)</f>
        <v>#REF!</v>
      </c>
      <c r="U13" s="3" t="e">
        <f>COUNTIFS($I$4:$I$100,$N$27,#REF!,$N31)</f>
        <v>#REF!</v>
      </c>
      <c r="V13" s="3" t="e">
        <f>COUNTIFS($I$4:$I$100,N27,#REF!,N30)</f>
        <v>#REF!</v>
      </c>
      <c r="W13" s="3"/>
      <c r="X13" s="3"/>
      <c r="Y13" s="3"/>
      <c r="Z13" s="3" t="e">
        <f>COUNTIFS($I$4:$I$100,$N$27,#REF!,N7)</f>
        <v>#REF!</v>
      </c>
      <c r="AA13" s="3"/>
      <c r="AB13" s="3" t="e">
        <f>COUNTIFS($I$4:$I$100,$N$27,#REF!,$N9)</f>
        <v>#REF!</v>
      </c>
      <c r="AC13" s="172" t="e">
        <f>COUNTIFS($I$4:$I$100,$N$27,#REF!,$N10)</f>
        <v>#REF!</v>
      </c>
      <c r="AD13" s="172" t="e">
        <f>COUNTIFS($I$4:$I$100,$N$27,#REF!,$N11)</f>
        <v>#REF!</v>
      </c>
      <c r="AE13" s="3" t="e">
        <f>COUNTIFS($I$4:$I$100,$N$27,#REF!,$N12)</f>
        <v>#REF!</v>
      </c>
      <c r="AF13" s="172" t="e">
        <f>COUNTIFS($I$4:$I$100,$N$27,#REF!,$N13)</f>
        <v>#REF!</v>
      </c>
      <c r="AG13" s="172" t="e">
        <f>COUNTIFS($I$4:$I$100,$N$27,#REF!,$N14)</f>
        <v>#REF!</v>
      </c>
      <c r="AH13" s="172" t="e">
        <f>COUNTIFS($I$4:$I$100,$N$27,#REF!,$N15)</f>
        <v>#REF!</v>
      </c>
      <c r="AI13" s="172" t="e">
        <f>COUNTIFS($I$4:$I$100,$N$27,#REF!,$N16)</f>
        <v>#REF!</v>
      </c>
      <c r="AJ13" s="172" t="e">
        <f>COUNTIFS($I$4:$I$100,$N$27,#REF!,$N19)</f>
        <v>#REF!</v>
      </c>
      <c r="AK13" s="172" t="e">
        <f>COUNTIFS($I$4:$I$100,$N$27,#REF!,$N21)</f>
        <v>#REF!</v>
      </c>
    </row>
    <row r="14" spans="2:76" ht="11.1">
      <c r="B14" s="3">
        <f t="shared" si="0"/>
        <v>11</v>
      </c>
      <c r="C14" s="4"/>
      <c r="D14" s="5"/>
      <c r="E14" s="4"/>
      <c r="F14" s="284"/>
      <c r="G14" s="3"/>
      <c r="H14" s="363"/>
      <c r="I14" s="4"/>
      <c r="J14" s="4"/>
      <c r="K14" s="284"/>
      <c r="L14" s="284"/>
      <c r="M14" s="365"/>
      <c r="N14" s="284"/>
      <c r="O14" s="3"/>
      <c r="P14" s="3"/>
      <c r="S14" s="3" t="s">
        <v>174</v>
      </c>
      <c r="T14" s="3" t="e">
        <f>COUNTIFS($I$4:$I$100,$N$26,#REF!,$N29)</f>
        <v>#REF!</v>
      </c>
      <c r="U14" s="3" t="e">
        <f>COUNTIFS($I$4:$I$100,$N$26,#REF!,$N31)</f>
        <v>#REF!</v>
      </c>
      <c r="V14" s="3" t="e">
        <f>COUNTIFS($I$4:$I$100,N26,#REF!,N30)</f>
        <v>#REF!</v>
      </c>
      <c r="W14" s="3"/>
      <c r="X14" s="3"/>
      <c r="Y14" s="3"/>
      <c r="Z14" s="3" t="e">
        <f>COUNTIFS($I$4:$I$100,$N$26,#REF!,N7)</f>
        <v>#REF!</v>
      </c>
      <c r="AA14" s="3"/>
      <c r="AB14" s="3" t="e">
        <f>COUNTIFS($I$4:$I$100,$N$26,#REF!,$N9)</f>
        <v>#REF!</v>
      </c>
      <c r="AC14" s="172" t="e">
        <f>COUNTIFS($I$4:$I$100,$N$26,#REF!,$N10)</f>
        <v>#REF!</v>
      </c>
      <c r="AD14" s="172" t="e">
        <f>COUNTIFS($I$4:$I$100,$N$26,#REF!,$N11)</f>
        <v>#REF!</v>
      </c>
      <c r="AE14" s="172" t="e">
        <f>COUNTIFS($I$4:$I$100,$N$26,#REF!,$N12)</f>
        <v>#REF!</v>
      </c>
      <c r="AF14" s="172" t="e">
        <f>COUNTIFS($I$4:$I$100,$N$26,#REF!,$N13)</f>
        <v>#REF!</v>
      </c>
      <c r="AG14" s="172" t="e">
        <f>COUNTIFS($I$4:$I$100,$N$26,#REF!,$N14)</f>
        <v>#REF!</v>
      </c>
      <c r="AH14" s="172" t="e">
        <f>COUNTIFS($I$4:$I$100,$N$26,#REF!,$N15)</f>
        <v>#REF!</v>
      </c>
      <c r="AI14" s="172" t="e">
        <f>COUNTIFS($I$4:$I$100,$N$26,#REF!,$N16)</f>
        <v>#REF!</v>
      </c>
      <c r="AJ14" s="172" t="e">
        <f>COUNTIFS($I$4:$I$100,$N$26,#REF!,$N19)</f>
        <v>#REF!</v>
      </c>
      <c r="AK14" s="172" t="e">
        <f>COUNTIFS($I$4:$I$100,$N$26,#REF!,$N21)</f>
        <v>#REF!</v>
      </c>
      <c r="AV14" s="274" t="s">
        <v>1441</v>
      </c>
      <c r="AW14" s="593" t="s">
        <v>1421</v>
      </c>
      <c r="AX14" s="593"/>
      <c r="AY14" s="593"/>
      <c r="AZ14" s="593"/>
      <c r="BA14" s="593"/>
      <c r="BB14" s="538" t="s">
        <v>1433</v>
      </c>
      <c r="BC14" s="538"/>
      <c r="BD14" s="538"/>
      <c r="BE14" s="538"/>
      <c r="BF14" s="538"/>
      <c r="BG14" s="538"/>
      <c r="BH14" s="538"/>
    </row>
    <row r="15" spans="2:76" ht="22.35" customHeight="1">
      <c r="B15" s="3">
        <f t="shared" si="0"/>
        <v>12</v>
      </c>
      <c r="C15" s="4"/>
      <c r="D15" s="3"/>
      <c r="E15" s="4"/>
      <c r="F15" s="3"/>
      <c r="G15" s="3"/>
      <c r="H15" s="363"/>
      <c r="I15" s="4"/>
      <c r="J15" s="4"/>
      <c r="K15" s="284"/>
      <c r="L15" s="284"/>
      <c r="M15" s="365"/>
      <c r="N15" s="284"/>
      <c r="O15" s="3"/>
      <c r="P15" s="3"/>
      <c r="S15" s="3" t="s">
        <v>168</v>
      </c>
      <c r="T15" s="3" t="e">
        <f>COUNTIFS($I$4:$I$100,$N$25,#REF!,$N29)</f>
        <v>#REF!</v>
      </c>
      <c r="U15" s="3" t="e">
        <f>COUNTIFS($I$4:$I$100,$N$25,#REF!,$N31)</f>
        <v>#REF!</v>
      </c>
      <c r="V15" s="3" t="e">
        <f>COUNTIFS($I$4:$I$100,N25,#REF!,N30)</f>
        <v>#REF!</v>
      </c>
      <c r="W15" s="3"/>
      <c r="X15" s="3"/>
      <c r="Y15" s="3"/>
      <c r="Z15" s="3" t="e">
        <f>COUNTIFS($I$4:$I$100,$N$25,#REF!,N7)</f>
        <v>#REF!</v>
      </c>
      <c r="AA15" s="3"/>
      <c r="AB15" s="172" t="e">
        <f>COUNTIFS($I$4:$I$100,$N$25,#REF!,$N9)</f>
        <v>#REF!</v>
      </c>
      <c r="AC15" s="3" t="e">
        <f>COUNTIFS($I$4:$I$100,$N$25,#REF!,$N10)</f>
        <v>#REF!</v>
      </c>
      <c r="AD15" s="172" t="e">
        <f>COUNTIFS($I$4:$I$100,$N$25,#REF!,$N11)</f>
        <v>#REF!</v>
      </c>
      <c r="AE15" s="3" t="e">
        <f>COUNTIFS($I$4:$I$100,$N$25,#REF!,$N12)</f>
        <v>#REF!</v>
      </c>
      <c r="AF15" s="3" t="e">
        <f>COUNTIFS($I$4:$I$100,$N$25,#REF!,$N13)</f>
        <v>#REF!</v>
      </c>
      <c r="AG15" s="3" t="e">
        <f>COUNTIFS($I$4:$I$100,$N$25,#REF!,$N14)</f>
        <v>#REF!</v>
      </c>
      <c r="AH15" s="3" t="e">
        <f>COUNTIFS($I$4:$I$100,$N$25,#REF!,$N15)</f>
        <v>#REF!</v>
      </c>
      <c r="AI15" s="3" t="e">
        <f>COUNTIFS($I$4:$I$100,$N$25,#REF!,$N16)</f>
        <v>#REF!</v>
      </c>
      <c r="AJ15" s="3" t="e">
        <f>COUNTIFS($I$4:$I$100,$N$25,#REF!,$N19)</f>
        <v>#REF!</v>
      </c>
      <c r="AK15" s="3" t="e">
        <f>COUNTIFS($I$4:$I$100,$N$25,#REF!,$N21)</f>
        <v>#REF!</v>
      </c>
      <c r="AV15" s="273" t="s">
        <v>1385</v>
      </c>
      <c r="AW15" s="590">
        <f>D4</f>
        <v>0</v>
      </c>
      <c r="AX15" s="590"/>
      <c r="AY15" s="590"/>
      <c r="AZ15" s="590"/>
      <c r="BA15" s="590"/>
      <c r="BB15" s="591" t="s">
        <v>144</v>
      </c>
      <c r="BC15" s="591"/>
      <c r="BD15" s="591"/>
      <c r="BE15" s="591"/>
      <c r="BF15" s="591"/>
      <c r="BG15" s="591"/>
      <c r="BH15" s="591"/>
    </row>
    <row r="16" spans="2:76" ht="11.1" customHeight="1">
      <c r="B16" s="3">
        <f t="shared" si="0"/>
        <v>13</v>
      </c>
      <c r="C16" s="4"/>
      <c r="F16" s="284"/>
      <c r="G16" s="3"/>
      <c r="H16" s="363"/>
      <c r="I16" s="4"/>
      <c r="J16" s="4"/>
      <c r="K16" s="284"/>
      <c r="L16" s="284"/>
      <c r="M16" s="229"/>
      <c r="N16" s="284"/>
      <c r="O16" s="3"/>
      <c r="P16" s="3"/>
      <c r="S16" s="3" t="s">
        <v>389</v>
      </c>
      <c r="T16" s="3" t="e">
        <f>COUNTIFS($I$4:$I$100,$N$24,#REF!,$N29)</f>
        <v>#REF!</v>
      </c>
      <c r="U16" s="3" t="e">
        <f>COUNTIFS($I$4:$I$100,$N$24,#REF!,$N31)</f>
        <v>#REF!</v>
      </c>
      <c r="V16" s="3" t="e">
        <f>COUNTIFS($I$4:$I$100,N24,#REF!,N30)</f>
        <v>#REF!</v>
      </c>
      <c r="W16" s="3"/>
      <c r="X16" s="3"/>
      <c r="Y16" s="3"/>
      <c r="Z16" s="172" t="e">
        <f>COUNTIFS($I$4:$I$100,$N$24,#REF!,N7)</f>
        <v>#REF!</v>
      </c>
      <c r="AA16" s="3"/>
      <c r="AB16" s="3" t="e">
        <f>COUNTIFS($I$4:$I$100,$N$24,#REF!,$N9)</f>
        <v>#REF!</v>
      </c>
      <c r="AC16" s="3" t="e">
        <f>COUNTIFS($I$4:$I$100,$N$24,#REF!,$N10)</f>
        <v>#REF!</v>
      </c>
      <c r="AD16" s="172" t="e">
        <f>COUNTIFS($I$4:$I$100,$N$24,#REF!,$N11)</f>
        <v>#REF!</v>
      </c>
      <c r="AE16" s="3" t="e">
        <f>COUNTIFS($I$4:$I$100,$N$24,#REF!,$N12)</f>
        <v>#REF!</v>
      </c>
      <c r="AF16" s="3" t="e">
        <f>COUNTIFS($I$4:$I$100,$N$24,#REF!,$N13)</f>
        <v>#REF!</v>
      </c>
      <c r="AG16" s="3" t="e">
        <f>COUNTIFS($I$4:$I$100,$N$24,#REF!,$N14)</f>
        <v>#REF!</v>
      </c>
      <c r="AH16" s="3" t="e">
        <f>COUNTIFS($I$4:$I$100,$N$24,#REF!,$N15)</f>
        <v>#REF!</v>
      </c>
      <c r="AI16" s="3" t="e">
        <f>COUNTIFS($I$4:$I$100,$N$24,#REF!,$N16)</f>
        <v>#REF!</v>
      </c>
      <c r="AJ16" s="3" t="e">
        <f>COUNTIFS($I$4:$I$100,$N$24,#REF!,$N1)</f>
        <v>#REF!</v>
      </c>
      <c r="AK16" s="3" t="e">
        <f>COUNTIFS($I$4:$I$100,$N$24,#REF!,$N21)</f>
        <v>#REF!</v>
      </c>
      <c r="AV16" s="273" t="s">
        <v>1385</v>
      </c>
      <c r="AW16" s="590">
        <f>D9</f>
        <v>0</v>
      </c>
      <c r="AX16" s="590"/>
      <c r="AY16" s="590"/>
      <c r="AZ16" s="590"/>
      <c r="BA16" s="590"/>
      <c r="BB16" s="591" t="s">
        <v>1755</v>
      </c>
      <c r="BC16" s="591"/>
      <c r="BD16" s="591"/>
      <c r="BE16" s="591"/>
      <c r="BF16" s="591"/>
      <c r="BG16" s="591"/>
      <c r="BH16" s="591"/>
    </row>
    <row r="17" spans="2:60" ht="11.1" customHeight="1">
      <c r="B17" s="3">
        <f t="shared" si="0"/>
        <v>14</v>
      </c>
      <c r="C17" s="4"/>
      <c r="D17" s="3"/>
      <c r="E17" s="4"/>
      <c r="F17" s="284"/>
      <c r="G17" s="3"/>
      <c r="H17" s="363"/>
      <c r="I17" s="4"/>
      <c r="J17" s="4"/>
      <c r="K17" s="284"/>
      <c r="L17" s="284"/>
      <c r="M17" s="5"/>
      <c r="N17" s="284"/>
      <c r="O17" s="3"/>
      <c r="P17" s="3"/>
      <c r="S17" s="172" t="s">
        <v>1451</v>
      </c>
      <c r="T17" s="172" t="e">
        <f>SUM(T13:T16)</f>
        <v>#REF!</v>
      </c>
      <c r="U17" s="172" t="e">
        <f>SUM(U13:U16)</f>
        <v>#REF!</v>
      </c>
      <c r="V17" s="172" t="e">
        <f>SUM(V13:V16)</f>
        <v>#REF!</v>
      </c>
      <c r="W17" s="538" t="e">
        <f>SUM(W13:AA16)</f>
        <v>#REF!</v>
      </c>
      <c r="X17" s="538"/>
      <c r="Y17" s="538"/>
      <c r="Z17" s="538"/>
      <c r="AA17" s="538"/>
      <c r="AB17" s="588" t="e">
        <f>SUM(AB13:AF16)</f>
        <v>#REF!</v>
      </c>
      <c r="AC17" s="589"/>
      <c r="AD17" s="589"/>
      <c r="AE17" s="589"/>
      <c r="AF17" s="536"/>
      <c r="AG17" s="588" t="e">
        <f>SUM(AG13:AI16)</f>
        <v>#REF!</v>
      </c>
      <c r="AH17" s="589"/>
      <c r="AI17" s="536"/>
      <c r="AJ17" s="538" t="e">
        <f>SUM(AJ13:AK16)</f>
        <v>#REF!</v>
      </c>
      <c r="AK17" s="538"/>
      <c r="AM17" t="e">
        <f>SUM(T17:AK17)</f>
        <v>#REF!</v>
      </c>
      <c r="AV17" s="273" t="s">
        <v>1385</v>
      </c>
      <c r="AW17" s="594">
        <f>D$12</f>
        <v>0</v>
      </c>
      <c r="AX17" s="595"/>
      <c r="AY17" s="595"/>
      <c r="AZ17" s="595"/>
      <c r="BA17" s="596"/>
      <c r="BB17" s="591" t="s">
        <v>1756</v>
      </c>
      <c r="BC17" s="591"/>
      <c r="BD17" s="591"/>
      <c r="BE17" s="591"/>
      <c r="BF17" s="591"/>
      <c r="BG17" s="591"/>
      <c r="BH17" s="591"/>
    </row>
    <row r="18" spans="2:60" ht="11.1" customHeight="1">
      <c r="B18" s="3">
        <f t="shared" si="0"/>
        <v>15</v>
      </c>
      <c r="C18" s="4"/>
      <c r="D18" s="3"/>
      <c r="E18" s="4"/>
      <c r="F18" s="284"/>
      <c r="G18" s="3"/>
      <c r="H18" s="363"/>
      <c r="I18" s="4"/>
      <c r="J18" s="4"/>
      <c r="K18" s="284"/>
      <c r="L18" s="284"/>
      <c r="M18" s="3"/>
      <c r="N18" s="284"/>
      <c r="O18" s="3"/>
      <c r="P18" s="3"/>
      <c r="AV18" s="273" t="s">
        <v>1385</v>
      </c>
      <c r="AW18" s="594">
        <f>D$14</f>
        <v>0</v>
      </c>
      <c r="AX18" s="595"/>
      <c r="AY18" s="595"/>
      <c r="AZ18" s="595"/>
      <c r="BA18" s="596"/>
      <c r="BB18" s="597" t="s">
        <v>1757</v>
      </c>
      <c r="BC18" s="598"/>
      <c r="BD18" s="598"/>
      <c r="BE18" s="598"/>
      <c r="BF18" s="598"/>
      <c r="BG18" s="598"/>
      <c r="BH18" s="599"/>
    </row>
    <row r="19" spans="2:60" ht="11.1" customHeight="1">
      <c r="B19" s="3">
        <f t="shared" si="0"/>
        <v>16</v>
      </c>
      <c r="C19" s="4"/>
      <c r="D19" s="3"/>
      <c r="E19" s="4"/>
      <c r="F19" s="284"/>
      <c r="G19" s="3"/>
      <c r="H19" s="363"/>
      <c r="I19" s="4"/>
      <c r="J19" s="4"/>
      <c r="K19" s="284"/>
      <c r="L19" s="284"/>
      <c r="M19" s="5"/>
      <c r="N19" s="284"/>
      <c r="O19" s="3"/>
      <c r="P19" s="3"/>
      <c r="AV19" s="273" t="s">
        <v>1386</v>
      </c>
      <c r="AW19" s="594">
        <f>D$35</f>
        <v>0</v>
      </c>
      <c r="AX19" s="595"/>
      <c r="AY19" s="595"/>
      <c r="AZ19" s="595"/>
      <c r="BA19" s="596"/>
      <c r="BB19" s="597" t="s">
        <v>1758</v>
      </c>
      <c r="BC19" s="598"/>
      <c r="BD19" s="598"/>
      <c r="BE19" s="598"/>
      <c r="BF19" s="598"/>
      <c r="BG19" s="598"/>
      <c r="BH19" s="599"/>
    </row>
    <row r="20" spans="2:60" ht="11.1" customHeight="1">
      <c r="B20" s="3">
        <f t="shared" si="0"/>
        <v>17</v>
      </c>
      <c r="C20" s="4"/>
      <c r="F20" s="284"/>
      <c r="G20" s="3"/>
      <c r="H20" s="363"/>
      <c r="I20" s="4"/>
      <c r="J20" s="4"/>
      <c r="K20" s="284"/>
      <c r="L20" s="284"/>
      <c r="M20" s="3"/>
      <c r="N20" s="284"/>
      <c r="O20" s="3"/>
      <c r="P20" s="3"/>
      <c r="S20" s="172" t="s">
        <v>1430</v>
      </c>
      <c r="T20" s="3"/>
      <c r="U20" s="3"/>
      <c r="V20" s="3"/>
      <c r="W20" s="276">
        <v>45322</v>
      </c>
      <c r="X20" s="276">
        <v>45323</v>
      </c>
      <c r="Y20" s="276">
        <v>45324</v>
      </c>
      <c r="Z20" s="276">
        <v>45325</v>
      </c>
      <c r="AA20" s="276">
        <v>45326</v>
      </c>
      <c r="AB20" s="276">
        <v>45327</v>
      </c>
      <c r="AC20" s="276">
        <v>45328</v>
      </c>
      <c r="AD20" s="276">
        <v>45329</v>
      </c>
      <c r="AE20" s="276">
        <v>45330</v>
      </c>
      <c r="AF20" s="276">
        <v>45331</v>
      </c>
      <c r="AG20" s="276">
        <v>45332</v>
      </c>
      <c r="AH20" s="276">
        <v>45333</v>
      </c>
      <c r="AI20" s="276">
        <v>45334</v>
      </c>
      <c r="AJ20" s="276">
        <v>45335</v>
      </c>
      <c r="AK20" s="276">
        <v>45336</v>
      </c>
      <c r="AL20" s="276">
        <v>45337</v>
      </c>
      <c r="AM20" s="276">
        <v>45338</v>
      </c>
      <c r="AN20" s="276">
        <v>45339</v>
      </c>
      <c r="AO20" s="276">
        <v>45340</v>
      </c>
      <c r="AP20" s="276">
        <v>45341</v>
      </c>
      <c r="AQ20" s="276">
        <v>45342</v>
      </c>
      <c r="AR20" s="276">
        <v>45343</v>
      </c>
      <c r="AS20" s="276">
        <v>45344</v>
      </c>
      <c r="AT20" s="276">
        <v>45345</v>
      </c>
      <c r="AV20" s="273" t="s">
        <v>1386</v>
      </c>
      <c r="AW20" s="594">
        <f>D$36</f>
        <v>0</v>
      </c>
      <c r="AX20" s="595"/>
      <c r="AY20" s="595"/>
      <c r="AZ20" s="595"/>
      <c r="BA20" s="596"/>
      <c r="BB20" s="597" t="s">
        <v>1759</v>
      </c>
      <c r="BC20" s="598"/>
      <c r="BD20" s="598"/>
      <c r="BE20" s="598"/>
      <c r="BF20" s="598"/>
      <c r="BG20" s="598"/>
      <c r="BH20" s="599"/>
    </row>
    <row r="21" spans="2:60" ht="11.1" customHeight="1">
      <c r="B21" s="3">
        <f t="shared" si="0"/>
        <v>18</v>
      </c>
      <c r="C21" s="4"/>
      <c r="D21" s="3"/>
      <c r="E21" s="4"/>
      <c r="F21" s="284"/>
      <c r="G21" s="3"/>
      <c r="H21" s="363"/>
      <c r="I21" s="4"/>
      <c r="J21" s="4"/>
      <c r="K21" s="284"/>
      <c r="L21" s="284"/>
      <c r="M21" s="3"/>
      <c r="N21" s="284"/>
      <c r="O21" s="3"/>
      <c r="P21" s="3"/>
      <c r="S21" s="3" t="s">
        <v>174</v>
      </c>
      <c r="T21" s="3"/>
      <c r="U21" s="3"/>
      <c r="V21" s="3"/>
      <c r="W21" s="3" t="e">
        <f>COUNTIFS($I$4:$I$100,$S21,#REF!,W$20)</f>
        <v>#REF!</v>
      </c>
      <c r="X21" s="3" t="e">
        <f>COUNTIFS($I$4:$I$100,$S21,#REF!,X$20)</f>
        <v>#REF!</v>
      </c>
      <c r="Y21" s="3" t="e">
        <f>COUNTIFS($I$4:$I$100,$S21,#REF!,Y$20)</f>
        <v>#REF!</v>
      </c>
      <c r="Z21" s="3" t="e">
        <f>COUNTIFS($I$4:$I$100,$S21,#REF!,Z$20)</f>
        <v>#REF!</v>
      </c>
      <c r="AA21" s="3" t="e">
        <f>COUNTIFS($I$4:$I$100,$S21,#REF!,AA$20)</f>
        <v>#REF!</v>
      </c>
      <c r="AB21" s="3" t="e">
        <f>COUNTIFS($I$4:$I$100,$S21,#REF!,AB$20)</f>
        <v>#REF!</v>
      </c>
      <c r="AC21" s="3" t="e">
        <f>COUNTIFS($I$4:$I$100,$S21,#REF!,AC$20)</f>
        <v>#REF!</v>
      </c>
      <c r="AD21" s="3" t="e">
        <f>COUNTIFS($I$4:$I$100,$S21,#REF!,AD$20)</f>
        <v>#REF!</v>
      </c>
      <c r="AE21" s="3" t="e">
        <f>COUNTIFS($I$4:$I$100,$S21,#REF!,AE$20)</f>
        <v>#REF!</v>
      </c>
      <c r="AF21" s="3" t="e">
        <f>COUNTIFS($I$4:$I$100,$S21,#REF!,AF$20)</f>
        <v>#REF!</v>
      </c>
      <c r="AG21" s="3" t="e">
        <f>COUNTIFS($I$4:$I$100,$S21,#REF!,AG$20)</f>
        <v>#REF!</v>
      </c>
      <c r="AH21" s="3" t="e">
        <f>COUNTIFS($I$4:$I$100,$S21,#REF!,AH$20)</f>
        <v>#REF!</v>
      </c>
      <c r="AI21" s="3" t="e">
        <f>COUNTIFS($I$4:$I$100,$S21,#REF!,AI$20)</f>
        <v>#REF!</v>
      </c>
      <c r="AJ21" s="3" t="e">
        <f>COUNTIFS($I$4:$I$100,$S21,#REF!,AJ$20)</f>
        <v>#REF!</v>
      </c>
      <c r="AK21" s="3" t="e">
        <f>COUNTIFS($I$4:$I$100,$S21,#REF!,AK$20)</f>
        <v>#REF!</v>
      </c>
      <c r="AL21" s="3" t="e">
        <f>COUNTIFS($I$4:$I$100,$S21,#REF!,AL$20)</f>
        <v>#REF!</v>
      </c>
      <c r="AM21" s="3" t="e">
        <f>COUNTIFS($I$4:$I$100,$S21,#REF!,AM$20)</f>
        <v>#REF!</v>
      </c>
      <c r="AN21" s="3" t="e">
        <f>COUNTIFS($I$4:$I$100,$S21,#REF!,AN$20)</f>
        <v>#REF!</v>
      </c>
      <c r="AO21" s="3" t="e">
        <f>COUNTIFS($I$4:$I$100,$S21,#REF!,AO$20)</f>
        <v>#REF!</v>
      </c>
      <c r="AP21" s="3" t="e">
        <f>COUNTIFS($I$4:$I$100,$S21,#REF!,AP$20)</f>
        <v>#REF!</v>
      </c>
      <c r="AQ21" s="3" t="e">
        <f>COUNTIFS($I$4:$I$100,$S21,#REF!,AQ$20)</f>
        <v>#REF!</v>
      </c>
      <c r="AR21" s="3" t="e">
        <f>COUNTIFS($I$4:$I$100,$S21,#REF!,AR$20)</f>
        <v>#REF!</v>
      </c>
      <c r="AS21" s="3" t="e">
        <f>COUNTIFS($I$4:$I$100,$S21,#REF!,AS$20)</f>
        <v>#REF!</v>
      </c>
      <c r="AT21" s="3" t="e">
        <f>COUNTIFS($I$4:$I$100,$S21,#REF!,AT$20)</f>
        <v>#REF!</v>
      </c>
      <c r="AV21" s="273" t="s">
        <v>1386</v>
      </c>
      <c r="AW21" s="594">
        <f>D$38</f>
        <v>0</v>
      </c>
      <c r="AX21" s="595"/>
      <c r="AY21" s="595"/>
      <c r="AZ21" s="595"/>
      <c r="BA21" s="596"/>
      <c r="BB21" s="597" t="s">
        <v>1758</v>
      </c>
      <c r="BC21" s="598"/>
      <c r="BD21" s="598"/>
      <c r="BE21" s="598"/>
      <c r="BF21" s="598"/>
      <c r="BG21" s="598"/>
      <c r="BH21" s="599"/>
    </row>
    <row r="22" spans="2:60" ht="11.85" customHeight="1">
      <c r="B22" s="3">
        <f t="shared" si="0"/>
        <v>19</v>
      </c>
      <c r="C22" s="4"/>
      <c r="D22" s="3"/>
      <c r="E22" s="4"/>
      <c r="F22" s="284"/>
      <c r="G22" s="3"/>
      <c r="H22" s="363"/>
      <c r="I22" s="4"/>
      <c r="J22" s="4"/>
      <c r="K22" s="284"/>
      <c r="L22" s="284"/>
      <c r="M22" s="3"/>
      <c r="N22" s="284"/>
      <c r="O22" s="3"/>
      <c r="P22" s="3"/>
      <c r="S22" s="3" t="s">
        <v>174</v>
      </c>
      <c r="T22" s="3"/>
      <c r="U22" s="3"/>
      <c r="V22" s="3"/>
      <c r="W22" s="3" t="e">
        <f>COUNTIFS($I$4:$I$100,$S22,#REF!,W$20)</f>
        <v>#REF!</v>
      </c>
      <c r="X22" s="3" t="e">
        <f>COUNTIFS($I$4:$I$100,$S22,#REF!,X$20)</f>
        <v>#REF!</v>
      </c>
      <c r="Y22" s="3" t="e">
        <f>COUNTIFS($I$4:$I$100,$S22,#REF!,Y$20)</f>
        <v>#REF!</v>
      </c>
      <c r="Z22" s="3" t="e">
        <f>COUNTIFS($I$4:$I$100,$S22,#REF!,Z$20)</f>
        <v>#REF!</v>
      </c>
      <c r="AA22" s="3" t="e">
        <f>COUNTIFS($I$4:$I$100,$S22,#REF!,AA$20)</f>
        <v>#REF!</v>
      </c>
      <c r="AB22" s="3" t="e">
        <f>COUNTIFS($I$4:$I$100,$S22,#REF!,AB$20)</f>
        <v>#REF!</v>
      </c>
      <c r="AC22" s="3" t="e">
        <f>COUNTIFS($I$4:$I$100,$S22,#REF!,AC$20)</f>
        <v>#REF!</v>
      </c>
      <c r="AD22" s="3" t="e">
        <f>COUNTIFS($I$4:$I$100,$S22,#REF!,AD$20)</f>
        <v>#REF!</v>
      </c>
      <c r="AE22" s="3" t="e">
        <f>COUNTIFS($I$4:$I$100,$S22,#REF!,AE$20)</f>
        <v>#REF!</v>
      </c>
      <c r="AF22" s="3" t="e">
        <f>COUNTIFS($I$4:$I$100,$S22,#REF!,AF$20)</f>
        <v>#REF!</v>
      </c>
      <c r="AG22" s="3" t="e">
        <f>COUNTIFS($I$4:$I$100,$S22,#REF!,AG$20)</f>
        <v>#REF!</v>
      </c>
      <c r="AH22" s="3" t="e">
        <f>COUNTIFS($I$4:$I$100,$S22,#REF!,AH$20)</f>
        <v>#REF!</v>
      </c>
      <c r="AI22" s="3" t="e">
        <f>COUNTIFS($I$4:$I$100,$S22,#REF!,AI$20)</f>
        <v>#REF!</v>
      </c>
      <c r="AJ22" s="3" t="e">
        <f>COUNTIFS($I$4:$I$100,$S22,#REF!,AJ$20)</f>
        <v>#REF!</v>
      </c>
      <c r="AK22" s="3" t="e">
        <f>COUNTIFS($I$4:$I$100,$S22,#REF!,AK$20)</f>
        <v>#REF!</v>
      </c>
      <c r="AL22" s="3" t="e">
        <f>COUNTIFS($I$4:$I$100,$S22,#REF!,AL$20)</f>
        <v>#REF!</v>
      </c>
      <c r="AM22" s="3" t="e">
        <f>COUNTIFS($I$4:$I$100,$S22,#REF!,AM$20)</f>
        <v>#REF!</v>
      </c>
      <c r="AN22" s="3" t="e">
        <f>COUNTIFS($I$4:$I$100,$S22,#REF!,AN$20)</f>
        <v>#REF!</v>
      </c>
      <c r="AO22" s="3" t="e">
        <f>COUNTIFS($I$4:$I$100,$S22,#REF!,AO$20)</f>
        <v>#REF!</v>
      </c>
      <c r="AP22" s="3" t="e">
        <f>COUNTIFS($I$4:$I$100,$S22,#REF!,AP$20)</f>
        <v>#REF!</v>
      </c>
      <c r="AQ22" s="3" t="e">
        <f>COUNTIFS($I$4:$I$100,$S22,#REF!,AQ$20)</f>
        <v>#REF!</v>
      </c>
      <c r="AR22" s="3" t="e">
        <f>COUNTIFS($I$4:$I$100,$S22,#REF!,AR$20)</f>
        <v>#REF!</v>
      </c>
      <c r="AS22" s="3" t="e">
        <f>COUNTIFS($I$4:$I$100,$S22,#REF!,AS$20)</f>
        <v>#REF!</v>
      </c>
      <c r="AT22" s="3" t="e">
        <f>COUNTIFS($I$4:$I$100,$S22,#REF!,AT$20)</f>
        <v>#REF!</v>
      </c>
      <c r="AV22" s="273" t="s">
        <v>1387</v>
      </c>
      <c r="AW22" s="594">
        <f>D43</f>
        <v>0</v>
      </c>
      <c r="AX22" s="595"/>
      <c r="AY22" s="595"/>
      <c r="AZ22" s="595"/>
      <c r="BA22" s="596"/>
      <c r="BB22" s="597" t="s">
        <v>1760</v>
      </c>
      <c r="BC22" s="598"/>
      <c r="BD22" s="598"/>
      <c r="BE22" s="598"/>
      <c r="BF22" s="598"/>
      <c r="BG22" s="598"/>
      <c r="BH22" s="599"/>
    </row>
    <row r="23" spans="2:60" ht="11.1" customHeight="1">
      <c r="B23" s="3">
        <f t="shared" si="0"/>
        <v>20</v>
      </c>
      <c r="C23" s="4"/>
      <c r="D23" s="3"/>
      <c r="E23" s="4"/>
      <c r="F23" s="284"/>
      <c r="G23" s="3"/>
      <c r="H23" s="363"/>
      <c r="I23" s="4"/>
      <c r="J23" s="4"/>
      <c r="K23" s="284"/>
      <c r="L23" s="284"/>
      <c r="M23" s="3"/>
      <c r="N23" s="3"/>
      <c r="O23" s="3"/>
      <c r="P23" s="3"/>
      <c r="S23" s="3" t="s">
        <v>168</v>
      </c>
      <c r="T23" s="3"/>
      <c r="U23" s="3"/>
      <c r="V23" s="3"/>
      <c r="W23" s="3" t="e">
        <f>COUNTIFS($I$4:$I$100,$S23,#REF!,W$20)</f>
        <v>#REF!</v>
      </c>
      <c r="X23" s="3" t="e">
        <f>COUNTIFS($I$4:$I$100,$S23,#REF!,X$20)</f>
        <v>#REF!</v>
      </c>
      <c r="Y23" s="3" t="e">
        <f>COUNTIFS($I$4:$I$100,$S23,#REF!,Y$20)</f>
        <v>#REF!</v>
      </c>
      <c r="Z23" s="3" t="e">
        <f>COUNTIFS($I$4:$I$100,$S23,#REF!,Z$20)</f>
        <v>#REF!</v>
      </c>
      <c r="AA23" s="3" t="e">
        <f>COUNTIFS($I$4:$I$100,$S23,#REF!,AA$20)</f>
        <v>#REF!</v>
      </c>
      <c r="AB23" s="3" t="e">
        <f>COUNTIFS($I$4:$I$100,$S23,#REF!,AB$20)</f>
        <v>#REF!</v>
      </c>
      <c r="AC23" s="3" t="e">
        <f>COUNTIFS($I$4:$I$100,$S23,#REF!,AC$20)</f>
        <v>#REF!</v>
      </c>
      <c r="AD23" s="3" t="e">
        <f>COUNTIFS($I$4:$I$100,$S23,#REF!,AD$20)</f>
        <v>#REF!</v>
      </c>
      <c r="AE23" s="3" t="e">
        <f>COUNTIFS($I$4:$I$100,$S23,#REF!,AE$20)</f>
        <v>#REF!</v>
      </c>
      <c r="AF23" s="3" t="e">
        <f>COUNTIFS($I$4:$I$100,$S23,#REF!,AF$20)</f>
        <v>#REF!</v>
      </c>
      <c r="AG23" s="3" t="e">
        <f>COUNTIFS($I$4:$I$100,$S23,#REF!,AG$20)</f>
        <v>#REF!</v>
      </c>
      <c r="AH23" s="3" t="e">
        <f>COUNTIFS($I$4:$I$100,$S23,#REF!,AH$20)</f>
        <v>#REF!</v>
      </c>
      <c r="AI23" s="3" t="e">
        <f>COUNTIFS($I$4:$I$100,$S23,#REF!,AI$20)</f>
        <v>#REF!</v>
      </c>
      <c r="AJ23" s="3" t="e">
        <f>COUNTIFS($I$4:$I$100,$S23,#REF!,AJ$20)</f>
        <v>#REF!</v>
      </c>
      <c r="AK23" s="3" t="e">
        <f>COUNTIFS($I$4:$I$100,$S23,#REF!,AK$20)</f>
        <v>#REF!</v>
      </c>
      <c r="AL23" s="3" t="e">
        <f>COUNTIFS($I$4:$I$100,$S23,#REF!,AL$20)</f>
        <v>#REF!</v>
      </c>
      <c r="AM23" s="3" t="e">
        <f>COUNTIFS($I$4:$I$100,$S23,#REF!,AM$20)</f>
        <v>#REF!</v>
      </c>
      <c r="AN23" s="3" t="e">
        <f>COUNTIFS($I$4:$I$100,$S23,#REF!,AN$20)</f>
        <v>#REF!</v>
      </c>
      <c r="AO23" s="3" t="e">
        <f>COUNTIFS($I$4:$I$100,$S23,#REF!,AO$20)</f>
        <v>#REF!</v>
      </c>
      <c r="AP23" s="3" t="e">
        <f>COUNTIFS($I$4:$I$100,$S23,#REF!,AP$20)</f>
        <v>#REF!</v>
      </c>
      <c r="AQ23" s="3" t="e">
        <f>COUNTIFS($I$4:$I$100,$S23,#REF!,AQ$20)</f>
        <v>#REF!</v>
      </c>
      <c r="AR23" s="3" t="e">
        <f>COUNTIFS($I$4:$I$100,$S23,#REF!,AR$20)</f>
        <v>#REF!</v>
      </c>
      <c r="AS23" s="3" t="e">
        <f>COUNTIFS($I$4:$I$100,$S23,#REF!,AS$20)</f>
        <v>#REF!</v>
      </c>
      <c r="AT23" s="3" t="e">
        <f>COUNTIFS($I$4:$I$100,$S23,#REF!,AT$20)</f>
        <v>#REF!</v>
      </c>
      <c r="AV23" s="273" t="s">
        <v>1387</v>
      </c>
      <c r="AW23" s="594">
        <f>D46</f>
        <v>0</v>
      </c>
      <c r="AX23" s="595"/>
      <c r="AY23" s="595"/>
      <c r="AZ23" s="595"/>
      <c r="BA23" s="596"/>
      <c r="BB23" s="597" t="s">
        <v>1761</v>
      </c>
      <c r="BC23" s="598"/>
      <c r="BD23" s="598"/>
      <c r="BE23" s="598"/>
      <c r="BF23" s="598"/>
      <c r="BG23" s="598"/>
      <c r="BH23" s="599"/>
    </row>
    <row r="24" spans="2:60" ht="11.1" customHeight="1">
      <c r="B24" s="3">
        <f t="shared" si="0"/>
        <v>21</v>
      </c>
      <c r="C24" s="4"/>
      <c r="D24" s="3"/>
      <c r="E24" s="4"/>
      <c r="F24" s="284"/>
      <c r="G24" s="3"/>
      <c r="H24" s="363"/>
      <c r="I24" s="4"/>
      <c r="J24" s="4"/>
      <c r="K24" s="284"/>
      <c r="L24" s="283"/>
      <c r="M24" s="229"/>
      <c r="N24" s="4"/>
      <c r="O24" s="3"/>
      <c r="P24" s="3"/>
      <c r="S24" s="3" t="s">
        <v>389</v>
      </c>
      <c r="T24" s="3"/>
      <c r="U24" s="3"/>
      <c r="V24" s="3"/>
      <c r="W24" s="3" t="e">
        <f>COUNTIFS($I$4:$I$100,$S24,#REF!,W$20)</f>
        <v>#REF!</v>
      </c>
      <c r="X24" s="3" t="e">
        <f>COUNTIFS($I$4:$I$100,$S24,#REF!,X$20)</f>
        <v>#REF!</v>
      </c>
      <c r="Y24" s="3" t="e">
        <f>COUNTIFS($I$4:$I$100,$S24,#REF!,Y$20)</f>
        <v>#REF!</v>
      </c>
      <c r="Z24" s="3" t="e">
        <f>COUNTIFS($I$4:$I$100,$S24,#REF!,Z$20)</f>
        <v>#REF!</v>
      </c>
      <c r="AA24" s="3" t="e">
        <f>COUNTIFS($I$4:$I$100,$S24,#REF!,AA$20)</f>
        <v>#REF!</v>
      </c>
      <c r="AB24" s="3" t="e">
        <f>COUNTIFS($I$4:$I$100,$S24,#REF!,AB$20)</f>
        <v>#REF!</v>
      </c>
      <c r="AC24" s="3" t="e">
        <f>COUNTIFS($I$4:$I$100,$S24,#REF!,AC$20)</f>
        <v>#REF!</v>
      </c>
      <c r="AD24" s="3" t="e">
        <f>COUNTIFS($I$4:$I$100,$S24,#REF!,AD$20)</f>
        <v>#REF!</v>
      </c>
      <c r="AE24" s="3" t="e">
        <f>COUNTIFS($I$4:$I$100,$S24,#REF!,AE$20)</f>
        <v>#REF!</v>
      </c>
      <c r="AF24" s="3" t="e">
        <f>COUNTIFS($I$4:$I$100,$S24,#REF!,AF$20)</f>
        <v>#REF!</v>
      </c>
      <c r="AG24" s="3" t="e">
        <f>COUNTIFS($I$4:$I$100,$S24,#REF!,AG$20)</f>
        <v>#REF!</v>
      </c>
      <c r="AH24" s="3" t="e">
        <f>COUNTIFS($I$4:$I$100,$S24,#REF!,AH$20)</f>
        <v>#REF!</v>
      </c>
      <c r="AI24" s="3" t="e">
        <f>COUNTIFS($I$4:$I$100,$S24,#REF!,AI$20)</f>
        <v>#REF!</v>
      </c>
      <c r="AJ24" s="3" t="e">
        <f>COUNTIFS($I$4:$I$100,$S24,#REF!,AJ$20)</f>
        <v>#REF!</v>
      </c>
      <c r="AK24" s="3" t="e">
        <f>COUNTIFS($I$4:$I$100,$S24,#REF!,AK$20)</f>
        <v>#REF!</v>
      </c>
      <c r="AL24" s="3" t="e">
        <f>COUNTIFS($I$4:$I$100,$S24,#REF!,AL$20)</f>
        <v>#REF!</v>
      </c>
      <c r="AM24" s="3" t="e">
        <f>COUNTIFS($I$4:$I$100,$S24,#REF!,AM$20)</f>
        <v>#REF!</v>
      </c>
      <c r="AN24" s="3" t="e">
        <f>COUNTIFS($I$4:$I$100,$S24,#REF!,AN$20)</f>
        <v>#REF!</v>
      </c>
      <c r="AO24" s="3" t="e">
        <f>COUNTIFS($I$4:$I$100,$S24,#REF!,AO$20)</f>
        <v>#REF!</v>
      </c>
      <c r="AP24" s="3" t="e">
        <f>COUNTIFS($I$4:$I$100,$S24,#REF!,AP$20)</f>
        <v>#REF!</v>
      </c>
      <c r="AQ24" s="3" t="e">
        <f>COUNTIFS($I$4:$I$100,$S24,#REF!,AQ$20)</f>
        <v>#REF!</v>
      </c>
      <c r="AR24" s="3" t="e">
        <f>COUNTIFS($I$4:$I$100,$S24,#REF!,AR$20)</f>
        <v>#REF!</v>
      </c>
      <c r="AS24" s="3" t="e">
        <f>COUNTIFS($I$4:$I$100,$S24,#REF!,AS$20)</f>
        <v>#REF!</v>
      </c>
      <c r="AT24" s="3" t="e">
        <f>COUNTIFS($I$4:$I$100,$S24,#REF!,AT$20)</f>
        <v>#REF!</v>
      </c>
      <c r="AV24" s="273" t="s">
        <v>1387</v>
      </c>
      <c r="AW24" s="594">
        <f>D$51</f>
        <v>0</v>
      </c>
      <c r="AX24" s="595"/>
      <c r="AY24" s="595"/>
      <c r="AZ24" s="595"/>
      <c r="BA24" s="596"/>
      <c r="BB24" s="597" t="s">
        <v>1760</v>
      </c>
      <c r="BC24" s="598"/>
      <c r="BD24" s="598"/>
      <c r="BE24" s="598"/>
      <c r="BF24" s="598"/>
      <c r="BG24" s="598"/>
      <c r="BH24" s="599"/>
    </row>
    <row r="25" spans="2:60" ht="22.35" customHeight="1">
      <c r="B25" s="3">
        <f t="shared" si="0"/>
        <v>22</v>
      </c>
      <c r="C25" s="4"/>
      <c r="D25" s="3"/>
      <c r="E25" s="4"/>
      <c r="F25" s="284"/>
      <c r="G25" s="3"/>
      <c r="H25" s="363"/>
      <c r="I25" s="4"/>
      <c r="J25" s="338"/>
      <c r="K25" s="284"/>
      <c r="L25" s="284"/>
      <c r="M25" s="277"/>
      <c r="N25" s="4"/>
      <c r="O25" s="3"/>
      <c r="P25" s="3"/>
      <c r="S25" s="172" t="s">
        <v>1451</v>
      </c>
      <c r="T25" s="3"/>
      <c r="U25" s="3"/>
      <c r="V25" s="3"/>
      <c r="W25" s="3" t="e">
        <f t="shared" ref="W25:AT25" si="2">SUM(W21:W24)</f>
        <v>#REF!</v>
      </c>
      <c r="X25" s="3" t="e">
        <f t="shared" si="2"/>
        <v>#REF!</v>
      </c>
      <c r="Y25" s="3" t="e">
        <f t="shared" si="2"/>
        <v>#REF!</v>
      </c>
      <c r="Z25" s="3" t="e">
        <f t="shared" si="2"/>
        <v>#REF!</v>
      </c>
      <c r="AA25" s="3" t="e">
        <f t="shared" si="2"/>
        <v>#REF!</v>
      </c>
      <c r="AB25" s="3" t="e">
        <f t="shared" si="2"/>
        <v>#REF!</v>
      </c>
      <c r="AC25" s="3" t="e">
        <f t="shared" si="2"/>
        <v>#REF!</v>
      </c>
      <c r="AD25" s="3" t="e">
        <f t="shared" si="2"/>
        <v>#REF!</v>
      </c>
      <c r="AE25" s="3" t="e">
        <f t="shared" si="2"/>
        <v>#REF!</v>
      </c>
      <c r="AF25" s="3" t="e">
        <f t="shared" si="2"/>
        <v>#REF!</v>
      </c>
      <c r="AG25" s="3" t="e">
        <f t="shared" si="2"/>
        <v>#REF!</v>
      </c>
      <c r="AH25" s="3" t="e">
        <f t="shared" si="2"/>
        <v>#REF!</v>
      </c>
      <c r="AI25" s="3" t="e">
        <f t="shared" si="2"/>
        <v>#REF!</v>
      </c>
      <c r="AJ25" s="3" t="e">
        <f t="shared" si="2"/>
        <v>#REF!</v>
      </c>
      <c r="AK25" s="3" t="e">
        <f t="shared" si="2"/>
        <v>#REF!</v>
      </c>
      <c r="AL25" s="3" t="e">
        <f t="shared" si="2"/>
        <v>#REF!</v>
      </c>
      <c r="AM25" s="3" t="e">
        <f t="shared" si="2"/>
        <v>#REF!</v>
      </c>
      <c r="AN25" s="3" t="e">
        <f t="shared" si="2"/>
        <v>#REF!</v>
      </c>
      <c r="AO25" s="3" t="e">
        <f t="shared" si="2"/>
        <v>#REF!</v>
      </c>
      <c r="AP25" s="3" t="e">
        <f t="shared" si="2"/>
        <v>#REF!</v>
      </c>
      <c r="AQ25" s="3" t="e">
        <f t="shared" si="2"/>
        <v>#REF!</v>
      </c>
      <c r="AR25" s="3" t="e">
        <f t="shared" si="2"/>
        <v>#REF!</v>
      </c>
      <c r="AS25" s="3" t="e">
        <f t="shared" si="2"/>
        <v>#REF!</v>
      </c>
      <c r="AT25" s="3" t="e">
        <f t="shared" si="2"/>
        <v>#REF!</v>
      </c>
      <c r="AV25" s="273" t="s">
        <v>1387</v>
      </c>
      <c r="AW25" s="594">
        <f>D$54</f>
        <v>0</v>
      </c>
      <c r="AX25" s="595"/>
      <c r="AY25" s="595"/>
      <c r="AZ25" s="595"/>
      <c r="BA25" s="596"/>
      <c r="BB25" s="597" t="s">
        <v>1758</v>
      </c>
      <c r="BC25" s="598"/>
      <c r="BD25" s="598"/>
      <c r="BE25" s="598"/>
      <c r="BF25" s="598"/>
      <c r="BG25" s="598"/>
      <c r="BH25" s="599"/>
    </row>
    <row r="26" spans="2:60" ht="11.1" customHeight="1">
      <c r="B26" s="3">
        <f t="shared" si="0"/>
        <v>23</v>
      </c>
      <c r="C26" s="4"/>
      <c r="D26" s="3"/>
      <c r="E26" s="4"/>
      <c r="F26" s="284"/>
      <c r="G26" s="3"/>
      <c r="H26" s="363"/>
      <c r="I26" s="4"/>
      <c r="J26" s="338"/>
      <c r="K26" s="3"/>
      <c r="L26" s="284"/>
      <c r="M26" s="3"/>
      <c r="N26" s="4"/>
      <c r="O26" s="3"/>
      <c r="P26" s="3"/>
      <c r="AV26" s="273" t="s">
        <v>1388</v>
      </c>
      <c r="AW26" s="594">
        <f>D$62</f>
        <v>0</v>
      </c>
      <c r="AX26" s="595"/>
      <c r="AY26" s="595"/>
      <c r="AZ26" s="595"/>
      <c r="BA26" s="596"/>
      <c r="BB26" s="597" t="s">
        <v>1762</v>
      </c>
      <c r="BC26" s="598"/>
      <c r="BD26" s="598"/>
      <c r="BE26" s="598"/>
      <c r="BF26" s="598"/>
      <c r="BG26" s="598"/>
      <c r="BH26" s="599"/>
    </row>
    <row r="27" spans="2:60" ht="11.1" customHeight="1">
      <c r="B27" s="3">
        <f t="shared" si="0"/>
        <v>24</v>
      </c>
      <c r="C27" s="4"/>
      <c r="D27" s="3"/>
      <c r="E27" s="4"/>
      <c r="F27" s="284"/>
      <c r="G27" s="3"/>
      <c r="H27" s="363"/>
      <c r="I27" s="4"/>
      <c r="J27" s="338"/>
      <c r="K27" s="284"/>
      <c r="L27" s="284"/>
      <c r="M27" s="5"/>
      <c r="N27" s="4"/>
      <c r="O27" s="3"/>
      <c r="P27" s="3"/>
      <c r="AV27" s="273" t="s">
        <v>1388</v>
      </c>
      <c r="AW27" s="594">
        <f>D$65</f>
        <v>0</v>
      </c>
      <c r="AX27" s="595"/>
      <c r="AY27" s="595"/>
      <c r="AZ27" s="595"/>
      <c r="BA27" s="596"/>
      <c r="BB27" s="597" t="s">
        <v>1763</v>
      </c>
      <c r="BC27" s="598"/>
      <c r="BD27" s="598"/>
      <c r="BE27" s="598"/>
      <c r="BF27" s="598"/>
      <c r="BG27" s="598"/>
      <c r="BH27" s="599"/>
    </row>
    <row r="28" spans="2:60" ht="11.1" customHeight="1">
      <c r="B28" s="3">
        <f t="shared" si="0"/>
        <v>25</v>
      </c>
      <c r="C28" s="4"/>
      <c r="D28" s="3"/>
      <c r="E28" s="4"/>
      <c r="F28" s="284"/>
      <c r="G28" s="3"/>
      <c r="H28" s="363"/>
      <c r="I28" s="4"/>
      <c r="J28" s="338"/>
      <c r="K28" s="284"/>
      <c r="L28" s="284"/>
      <c r="M28" s="229"/>
      <c r="N28" s="4"/>
      <c r="O28" s="3"/>
      <c r="P28" s="3"/>
      <c r="AV28" s="273" t="s">
        <v>1388</v>
      </c>
      <c r="AW28" s="594">
        <f>D$63</f>
        <v>0</v>
      </c>
      <c r="AX28" s="595"/>
      <c r="AY28" s="595"/>
      <c r="AZ28" s="595"/>
      <c r="BA28" s="596"/>
      <c r="BB28" s="597" t="s">
        <v>1759</v>
      </c>
      <c r="BC28" s="598"/>
      <c r="BD28" s="598"/>
      <c r="BE28" s="598"/>
      <c r="BF28" s="598"/>
      <c r="BG28" s="598"/>
      <c r="BH28" s="599"/>
    </row>
    <row r="29" spans="2:60" ht="11.1" customHeight="1">
      <c r="B29" s="3">
        <f t="shared" si="0"/>
        <v>26</v>
      </c>
      <c r="C29" s="4"/>
      <c r="D29" s="3"/>
      <c r="E29" s="4"/>
      <c r="F29" s="284"/>
      <c r="G29" s="3"/>
      <c r="H29" s="363"/>
      <c r="I29" s="4"/>
      <c r="J29" s="338"/>
      <c r="K29" s="3"/>
      <c r="L29" s="284"/>
      <c r="M29" s="3"/>
      <c r="N29" s="284"/>
      <c r="O29" s="3"/>
      <c r="P29" s="3"/>
      <c r="AV29" s="273" t="s">
        <v>1388</v>
      </c>
      <c r="AW29" s="594">
        <f>D$66</f>
        <v>0</v>
      </c>
      <c r="AX29" s="595"/>
      <c r="AY29" s="595"/>
      <c r="AZ29" s="595"/>
      <c r="BA29" s="596"/>
      <c r="BB29" s="597" t="s">
        <v>1764</v>
      </c>
      <c r="BC29" s="598"/>
      <c r="BD29" s="598"/>
      <c r="BE29" s="598"/>
      <c r="BF29" s="598"/>
      <c r="BG29" s="598"/>
      <c r="BH29" s="599"/>
    </row>
    <row r="30" spans="2:60" ht="11.1" customHeight="1">
      <c r="B30" s="3">
        <f t="shared" si="0"/>
        <v>27</v>
      </c>
      <c r="C30" s="4"/>
      <c r="D30" s="3"/>
      <c r="E30" s="4"/>
      <c r="F30" s="284"/>
      <c r="G30" s="3"/>
      <c r="H30" s="363"/>
      <c r="I30" s="4"/>
      <c r="J30" s="338"/>
      <c r="K30" s="3"/>
      <c r="L30" s="284"/>
      <c r="M30" s="3"/>
      <c r="N30" s="4"/>
      <c r="O30" s="3"/>
      <c r="P30" s="3"/>
      <c r="AV30" s="273" t="s">
        <v>1388</v>
      </c>
      <c r="AW30" s="594">
        <f>D$75</f>
        <v>0</v>
      </c>
      <c r="AX30" s="595"/>
      <c r="AY30" s="595"/>
      <c r="AZ30" s="595"/>
      <c r="BA30" s="596"/>
      <c r="BB30" s="597" t="s">
        <v>144</v>
      </c>
      <c r="BC30" s="598"/>
      <c r="BD30" s="598"/>
      <c r="BE30" s="598"/>
      <c r="BF30" s="598"/>
      <c r="BG30" s="598"/>
      <c r="BH30" s="599"/>
    </row>
    <row r="31" spans="2:60" ht="33" customHeight="1">
      <c r="B31" s="3">
        <f t="shared" si="0"/>
        <v>28</v>
      </c>
      <c r="C31" s="4"/>
      <c r="D31" s="3"/>
      <c r="E31" s="4"/>
      <c r="F31" s="284"/>
      <c r="G31" s="3"/>
      <c r="H31" s="363"/>
      <c r="I31" s="4"/>
      <c r="J31" s="338"/>
      <c r="K31" s="284"/>
      <c r="L31" s="284"/>
      <c r="M31" s="5"/>
      <c r="N31" s="4"/>
      <c r="O31" s="3"/>
      <c r="P31" s="3"/>
      <c r="AV31" s="273" t="s">
        <v>1388</v>
      </c>
      <c r="AW31" s="594">
        <f>D$76</f>
        <v>0</v>
      </c>
      <c r="AX31" s="595"/>
      <c r="AY31" s="595"/>
      <c r="AZ31" s="595"/>
      <c r="BA31" s="596"/>
      <c r="BB31" s="597" t="s">
        <v>1757</v>
      </c>
      <c r="BC31" s="598"/>
      <c r="BD31" s="598"/>
      <c r="BE31" s="598"/>
      <c r="BF31" s="598"/>
      <c r="BG31" s="598"/>
      <c r="BH31" s="599"/>
    </row>
    <row r="32" spans="2:60" ht="11.1" customHeight="1">
      <c r="B32" s="3">
        <f t="shared" si="0"/>
        <v>29</v>
      </c>
      <c r="C32" s="4"/>
      <c r="D32" s="3"/>
      <c r="E32" s="4"/>
      <c r="F32" s="284"/>
      <c r="G32" s="3"/>
      <c r="H32" s="363"/>
      <c r="I32" s="4"/>
      <c r="J32" s="338"/>
      <c r="K32" s="3"/>
      <c r="L32" s="284"/>
      <c r="M32" s="366"/>
      <c r="N32" s="3"/>
      <c r="O32" s="3"/>
      <c r="P32" s="3"/>
      <c r="AV32" s="273" t="s">
        <v>1388</v>
      </c>
      <c r="AW32" s="594">
        <f>D$78</f>
        <v>0</v>
      </c>
      <c r="AX32" s="595"/>
      <c r="AY32" s="595"/>
      <c r="AZ32" s="595"/>
      <c r="BA32" s="596"/>
      <c r="BB32" s="597" t="s">
        <v>1765</v>
      </c>
      <c r="BC32" s="598"/>
      <c r="BD32" s="598"/>
      <c r="BE32" s="598"/>
      <c r="BF32" s="598"/>
      <c r="BG32" s="598"/>
      <c r="BH32" s="599"/>
    </row>
    <row r="33" spans="2:60" ht="11.1" customHeight="1">
      <c r="B33" s="3">
        <f t="shared" si="0"/>
        <v>30</v>
      </c>
      <c r="C33" s="4"/>
      <c r="D33" s="3"/>
      <c r="E33" s="4"/>
      <c r="F33" s="284"/>
      <c r="G33" s="3"/>
      <c r="H33" s="363"/>
      <c r="I33" s="4"/>
      <c r="J33" s="338"/>
      <c r="K33" s="3"/>
      <c r="L33" s="284"/>
      <c r="M33" s="3"/>
      <c r="N33" s="3"/>
      <c r="O33" s="3"/>
      <c r="P33" s="3"/>
      <c r="AV33" s="273" t="s">
        <v>1389</v>
      </c>
      <c r="AW33" s="594">
        <f>D$91</f>
        <v>0</v>
      </c>
      <c r="AX33" s="595"/>
      <c r="AY33" s="595"/>
      <c r="AZ33" s="595"/>
      <c r="BA33" s="596"/>
      <c r="BB33" s="597" t="s">
        <v>1766</v>
      </c>
      <c r="BC33" s="598"/>
      <c r="BD33" s="598"/>
      <c r="BE33" s="598"/>
      <c r="BF33" s="598"/>
      <c r="BG33" s="598"/>
      <c r="BH33" s="599"/>
    </row>
    <row r="34" spans="2:60" ht="11.1" customHeight="1">
      <c r="B34" s="3">
        <f t="shared" si="0"/>
        <v>31</v>
      </c>
      <c r="C34" s="4"/>
      <c r="D34" s="3"/>
      <c r="E34" s="4"/>
      <c r="F34" s="284"/>
      <c r="G34" s="3"/>
      <c r="H34" s="363"/>
      <c r="I34" s="4"/>
      <c r="J34" s="338"/>
      <c r="K34" s="3"/>
      <c r="L34" s="284"/>
      <c r="M34" s="3"/>
      <c r="N34" s="3"/>
      <c r="O34" s="3"/>
      <c r="P34" s="3"/>
      <c r="AV34" s="273" t="s">
        <v>1389</v>
      </c>
      <c r="AW34" s="594">
        <f>D$92</f>
        <v>0</v>
      </c>
      <c r="AX34" s="595"/>
      <c r="AY34" s="595"/>
      <c r="AZ34" s="595"/>
      <c r="BA34" s="596"/>
      <c r="BB34" s="597" t="s">
        <v>1767</v>
      </c>
      <c r="BC34" s="598"/>
      <c r="BD34" s="598"/>
      <c r="BE34" s="598"/>
      <c r="BF34" s="598"/>
      <c r="BG34" s="598"/>
      <c r="BH34" s="599"/>
    </row>
    <row r="35" spans="2:60" ht="11.1" customHeight="1">
      <c r="B35" s="3">
        <f t="shared" si="0"/>
        <v>32</v>
      </c>
      <c r="C35" s="4"/>
      <c r="D35" s="3"/>
      <c r="E35" s="4"/>
      <c r="F35" s="284"/>
      <c r="G35" s="3"/>
      <c r="H35" s="363"/>
      <c r="I35" s="4"/>
      <c r="J35" s="338"/>
      <c r="K35" s="284"/>
      <c r="L35" s="284"/>
      <c r="M35" s="229"/>
      <c r="N35" s="3"/>
      <c r="O35" s="3"/>
      <c r="P35" s="3"/>
      <c r="AV35" s="273" t="s">
        <v>1389</v>
      </c>
      <c r="AW35" s="594">
        <f>D$93</f>
        <v>0</v>
      </c>
      <c r="AX35" s="595"/>
      <c r="AY35" s="595"/>
      <c r="AZ35" s="595"/>
      <c r="BA35" s="596"/>
      <c r="BB35" s="597" t="s">
        <v>1768</v>
      </c>
      <c r="BC35" s="598"/>
      <c r="BD35" s="598"/>
      <c r="BE35" s="598"/>
      <c r="BF35" s="598"/>
      <c r="BG35" s="598"/>
      <c r="BH35" s="599"/>
    </row>
    <row r="36" spans="2:60" ht="11.1">
      <c r="B36" s="3">
        <f t="shared" ref="B36:B67" si="3">ROW()-3</f>
        <v>33</v>
      </c>
      <c r="C36" s="4"/>
      <c r="D36" s="3"/>
      <c r="E36" s="4"/>
      <c r="F36" s="284"/>
      <c r="G36" s="3"/>
      <c r="H36" s="363"/>
      <c r="I36" s="4"/>
      <c r="J36" s="338"/>
      <c r="K36" s="284"/>
      <c r="L36" s="284"/>
      <c r="M36" s="5"/>
      <c r="N36" s="3"/>
      <c r="O36" s="3"/>
      <c r="P36" s="3"/>
    </row>
    <row r="37" spans="2:60" ht="11.1">
      <c r="B37" s="3">
        <f t="shared" si="3"/>
        <v>34</v>
      </c>
      <c r="C37" s="4"/>
      <c r="D37" s="3"/>
      <c r="E37" s="4"/>
      <c r="F37" s="284"/>
      <c r="G37" s="3"/>
      <c r="H37" s="363"/>
      <c r="I37" s="4"/>
      <c r="J37" s="338"/>
      <c r="K37" s="3"/>
      <c r="L37" s="284"/>
      <c r="M37" s="3"/>
      <c r="N37" s="3"/>
      <c r="O37" s="3"/>
      <c r="P37" s="3"/>
    </row>
    <row r="38" spans="2:60" ht="11.1">
      <c r="B38" s="3">
        <f t="shared" si="3"/>
        <v>35</v>
      </c>
      <c r="C38" s="4"/>
      <c r="D38" s="3"/>
      <c r="E38" s="4"/>
      <c r="F38" s="3"/>
      <c r="G38" s="3"/>
      <c r="H38" s="363"/>
      <c r="I38" s="4"/>
      <c r="J38" s="338"/>
      <c r="K38" s="284"/>
      <c r="L38" s="284"/>
      <c r="M38" s="5"/>
      <c r="N38" s="3"/>
      <c r="O38" s="3"/>
      <c r="P38" s="3"/>
    </row>
    <row r="39" spans="2:60" ht="11.1">
      <c r="B39" s="3">
        <f t="shared" si="3"/>
        <v>36</v>
      </c>
      <c r="C39" s="4"/>
      <c r="D39" s="3"/>
      <c r="E39" s="4"/>
      <c r="F39" s="3"/>
      <c r="G39" s="3"/>
      <c r="H39" s="363"/>
      <c r="I39" s="4"/>
      <c r="J39" s="338"/>
      <c r="K39" s="284"/>
      <c r="L39" s="284"/>
      <c r="M39" s="5"/>
      <c r="N39" s="284"/>
      <c r="O39" s="3"/>
      <c r="P39" s="3"/>
    </row>
    <row r="40" spans="2:60" ht="11.1">
      <c r="B40" s="3">
        <f t="shared" si="3"/>
        <v>37</v>
      </c>
      <c r="C40" s="4"/>
      <c r="D40" s="3"/>
      <c r="E40" s="4"/>
      <c r="F40" s="284"/>
      <c r="G40" s="3"/>
      <c r="H40" s="363"/>
      <c r="I40" s="4"/>
      <c r="J40" s="4"/>
      <c r="K40" s="284"/>
      <c r="L40" s="284"/>
      <c r="M40" s="3"/>
      <c r="N40" s="3"/>
      <c r="O40" s="3"/>
      <c r="P40" s="3"/>
    </row>
    <row r="41" spans="2:60" ht="11.1">
      <c r="B41" s="3">
        <f t="shared" si="3"/>
        <v>38</v>
      </c>
      <c r="C41" s="4"/>
      <c r="D41" s="3"/>
      <c r="E41" s="4"/>
      <c r="F41" s="3"/>
      <c r="G41" s="3"/>
      <c r="H41" s="363"/>
      <c r="I41" s="4"/>
      <c r="J41" s="4"/>
      <c r="K41" s="284"/>
      <c r="L41" s="284"/>
      <c r="M41" s="5"/>
      <c r="N41" s="3"/>
      <c r="O41" s="3"/>
      <c r="P41" s="3"/>
    </row>
    <row r="42" spans="2:60" ht="11.1">
      <c r="B42" s="3">
        <f t="shared" si="3"/>
        <v>39</v>
      </c>
      <c r="C42" s="4"/>
      <c r="D42" s="3"/>
      <c r="E42" s="4"/>
      <c r="F42" s="284"/>
      <c r="G42" s="3"/>
      <c r="H42" s="363"/>
      <c r="I42" s="4"/>
      <c r="J42" s="4"/>
      <c r="K42" s="284"/>
      <c r="L42" s="284"/>
      <c r="M42" s="277"/>
      <c r="N42" s="3"/>
      <c r="O42" s="3"/>
      <c r="P42" s="3"/>
    </row>
    <row r="43" spans="2:60" ht="11.1">
      <c r="B43" s="3">
        <f t="shared" si="3"/>
        <v>40</v>
      </c>
      <c r="C43" s="4"/>
      <c r="D43" s="3"/>
      <c r="E43" s="4"/>
      <c r="F43" s="3"/>
      <c r="G43" s="3"/>
      <c r="H43" s="363"/>
      <c r="I43" s="4"/>
      <c r="J43" s="4"/>
      <c r="K43" s="284"/>
      <c r="L43" s="284"/>
      <c r="M43" s="5"/>
      <c r="N43" s="3"/>
      <c r="O43" s="3"/>
      <c r="P43" s="3"/>
    </row>
    <row r="44" spans="2:60" ht="11.1">
      <c r="B44" s="3">
        <f t="shared" si="3"/>
        <v>41</v>
      </c>
      <c r="C44" s="4"/>
      <c r="D44" s="3"/>
      <c r="E44" s="4"/>
      <c r="F44" s="284"/>
      <c r="G44" s="3"/>
      <c r="H44" s="363"/>
      <c r="I44" s="4"/>
      <c r="J44" s="4"/>
      <c r="K44" s="284"/>
      <c r="L44" s="284"/>
      <c r="M44" s="277"/>
      <c r="N44" s="3"/>
      <c r="O44" s="3"/>
      <c r="P44" s="3"/>
    </row>
    <row r="45" spans="2:60" ht="11.1">
      <c r="B45" s="3">
        <f t="shared" si="3"/>
        <v>42</v>
      </c>
      <c r="C45" s="4"/>
      <c r="D45" s="3"/>
      <c r="E45" s="4"/>
      <c r="F45" s="284"/>
      <c r="G45" s="3"/>
      <c r="H45" s="363"/>
      <c r="I45" s="4"/>
      <c r="J45" s="4"/>
      <c r="K45" s="284"/>
      <c r="L45" s="284"/>
      <c r="M45" s="3"/>
      <c r="N45" s="3"/>
      <c r="O45" s="3"/>
      <c r="P45" s="3"/>
    </row>
    <row r="46" spans="2:60" ht="11.1">
      <c r="B46" s="3">
        <f t="shared" si="3"/>
        <v>43</v>
      </c>
      <c r="C46" s="4"/>
      <c r="D46" s="3"/>
      <c r="E46" s="4"/>
      <c r="F46" s="3"/>
      <c r="G46" s="3"/>
      <c r="H46" s="363"/>
      <c r="I46" s="4"/>
      <c r="J46" s="4"/>
      <c r="K46" s="284"/>
      <c r="L46" s="284"/>
      <c r="M46" s="5"/>
      <c r="N46" s="3"/>
      <c r="O46" s="3"/>
      <c r="P46" s="3"/>
    </row>
    <row r="47" spans="2:60" ht="11.1">
      <c r="B47" s="3">
        <f t="shared" si="3"/>
        <v>44</v>
      </c>
      <c r="C47" s="4"/>
      <c r="D47" s="3"/>
      <c r="E47" s="4"/>
      <c r="F47" s="284"/>
      <c r="G47" s="3"/>
      <c r="H47" s="363"/>
      <c r="I47" s="4"/>
      <c r="J47" s="4"/>
      <c r="K47" s="284"/>
      <c r="L47" s="284"/>
      <c r="M47" s="3"/>
      <c r="N47" s="3"/>
      <c r="O47" s="3"/>
      <c r="P47" s="3"/>
    </row>
    <row r="48" spans="2:60" ht="11.1">
      <c r="B48" s="3">
        <f t="shared" si="3"/>
        <v>45</v>
      </c>
      <c r="C48" s="4"/>
      <c r="D48" s="3"/>
      <c r="E48" s="4"/>
      <c r="F48" s="284"/>
      <c r="G48" s="3"/>
      <c r="H48" s="363"/>
      <c r="I48" s="4"/>
      <c r="J48" s="4"/>
      <c r="K48" s="284"/>
      <c r="L48" s="284"/>
      <c r="M48" s="277"/>
      <c r="N48" s="3"/>
      <c r="O48" s="3"/>
      <c r="P48" s="3"/>
    </row>
    <row r="49" spans="2:16" ht="11.1">
      <c r="B49" s="3">
        <f t="shared" si="3"/>
        <v>46</v>
      </c>
      <c r="C49" s="4"/>
      <c r="D49" s="3"/>
      <c r="E49" s="4"/>
      <c r="F49" s="3"/>
      <c r="G49" s="3"/>
      <c r="H49" s="363"/>
      <c r="I49" s="4"/>
      <c r="J49" s="4"/>
      <c r="K49" s="284"/>
      <c r="L49" s="284"/>
      <c r="M49" s="277"/>
      <c r="N49" s="3"/>
      <c r="O49" s="3"/>
      <c r="P49" s="3"/>
    </row>
    <row r="50" spans="2:16" ht="11.1">
      <c r="B50" s="3">
        <f t="shared" si="3"/>
        <v>47</v>
      </c>
      <c r="C50" s="4"/>
      <c r="D50" s="3"/>
      <c r="E50" s="4"/>
      <c r="F50" s="284"/>
      <c r="G50" s="3"/>
      <c r="H50" s="363"/>
      <c r="I50" s="4"/>
      <c r="J50" s="4"/>
      <c r="K50" s="284"/>
      <c r="L50" s="284"/>
      <c r="M50" s="3"/>
      <c r="N50" s="3"/>
      <c r="O50" s="3"/>
      <c r="P50" s="3"/>
    </row>
    <row r="51" spans="2:16" ht="11.1">
      <c r="B51" s="3">
        <f t="shared" si="3"/>
        <v>48</v>
      </c>
      <c r="C51" s="4"/>
      <c r="D51" s="3"/>
      <c r="E51" s="4"/>
      <c r="F51" s="284"/>
      <c r="G51" s="3"/>
      <c r="H51" s="363"/>
      <c r="I51" s="4"/>
      <c r="J51" s="4"/>
      <c r="K51" s="284"/>
      <c r="L51" s="284"/>
      <c r="M51" s="277"/>
      <c r="N51" s="3"/>
      <c r="O51" s="3"/>
      <c r="P51" s="3"/>
    </row>
    <row r="52" spans="2:16" ht="11.1">
      <c r="B52" s="3">
        <f t="shared" si="3"/>
        <v>49</v>
      </c>
      <c r="C52" s="4"/>
      <c r="D52" s="3"/>
      <c r="E52" s="4"/>
      <c r="F52" s="3"/>
      <c r="G52" s="3"/>
      <c r="H52" s="363"/>
      <c r="I52" s="4"/>
      <c r="J52" s="4"/>
      <c r="K52" s="284"/>
      <c r="L52" s="284"/>
      <c r="M52" s="277"/>
      <c r="N52" s="3"/>
      <c r="O52" s="3"/>
      <c r="P52" s="3"/>
    </row>
    <row r="53" spans="2:16" ht="11.1">
      <c r="B53" s="3">
        <f t="shared" si="3"/>
        <v>50</v>
      </c>
      <c r="C53" s="4"/>
      <c r="D53" s="3"/>
      <c r="E53" s="4"/>
      <c r="F53" s="284"/>
      <c r="G53" s="3"/>
      <c r="H53" s="363"/>
      <c r="I53" s="4"/>
      <c r="J53" s="4"/>
      <c r="K53" s="284"/>
      <c r="L53" s="284"/>
      <c r="M53" s="3"/>
      <c r="N53" s="3"/>
      <c r="O53" s="3"/>
      <c r="P53" s="3"/>
    </row>
    <row r="54" spans="2:16" ht="11.1">
      <c r="B54" s="3">
        <f t="shared" si="3"/>
        <v>51</v>
      </c>
      <c r="C54" s="4"/>
      <c r="D54" s="3"/>
      <c r="E54" s="4"/>
      <c r="F54" s="3"/>
      <c r="G54" s="3"/>
      <c r="H54" s="363"/>
      <c r="I54" s="4"/>
      <c r="J54" s="4"/>
      <c r="K54" s="284"/>
      <c r="L54" s="284"/>
      <c r="M54" s="5"/>
      <c r="N54" s="3"/>
      <c r="O54" s="3"/>
      <c r="P54" s="3"/>
    </row>
    <row r="55" spans="2:16" ht="11.1">
      <c r="B55" s="3">
        <f t="shared" si="3"/>
        <v>52</v>
      </c>
      <c r="C55" s="4"/>
      <c r="D55" s="5"/>
      <c r="E55" s="4"/>
      <c r="F55" s="284"/>
      <c r="G55" s="3"/>
      <c r="H55" s="363"/>
      <c r="I55" s="4"/>
      <c r="J55" s="4"/>
      <c r="K55" s="284"/>
      <c r="L55" s="4"/>
      <c r="M55" s="277"/>
      <c r="N55" s="3"/>
      <c r="O55" s="3"/>
      <c r="P55" s="3"/>
    </row>
    <row r="56" spans="2:16" ht="11.1">
      <c r="B56" s="3">
        <f t="shared" si="3"/>
        <v>53</v>
      </c>
      <c r="C56" s="4"/>
      <c r="D56" s="3"/>
      <c r="E56" s="4"/>
      <c r="F56" s="3"/>
      <c r="G56" s="3"/>
      <c r="H56" s="363"/>
      <c r="I56" s="4"/>
      <c r="J56" s="4"/>
      <c r="K56" s="284"/>
      <c r="L56" s="284"/>
      <c r="M56" s="277"/>
      <c r="N56" s="3"/>
      <c r="O56" s="3"/>
      <c r="P56" s="3"/>
    </row>
    <row r="57" spans="2:16" ht="11.1">
      <c r="B57" s="3">
        <f t="shared" si="3"/>
        <v>54</v>
      </c>
      <c r="C57" s="4"/>
      <c r="D57" s="3"/>
      <c r="E57" s="4"/>
      <c r="F57" s="284"/>
      <c r="G57" s="3"/>
      <c r="H57" s="363"/>
      <c r="I57" s="4"/>
      <c r="J57" s="4"/>
      <c r="K57" s="284"/>
      <c r="L57" s="4"/>
      <c r="M57" s="365"/>
      <c r="N57" s="3"/>
      <c r="O57" s="3"/>
      <c r="P57" s="3"/>
    </row>
    <row r="58" spans="2:16" ht="11.1">
      <c r="B58" s="3">
        <f t="shared" si="3"/>
        <v>55</v>
      </c>
      <c r="C58" s="4"/>
      <c r="D58" s="3"/>
      <c r="E58" s="4"/>
      <c r="F58" s="284"/>
      <c r="G58" s="3"/>
      <c r="H58" s="363"/>
      <c r="I58" s="4"/>
      <c r="J58" s="4"/>
      <c r="K58" s="284"/>
      <c r="L58" s="284"/>
      <c r="M58" s="3"/>
      <c r="N58" s="3"/>
      <c r="O58" s="3"/>
      <c r="P58" s="3"/>
    </row>
    <row r="59" spans="2:16" ht="11.1">
      <c r="B59" s="3">
        <f t="shared" si="3"/>
        <v>56</v>
      </c>
      <c r="C59" s="4"/>
      <c r="D59" s="3"/>
      <c r="E59" s="4"/>
      <c r="F59" s="284"/>
      <c r="G59" s="3"/>
      <c r="H59" s="363"/>
      <c r="I59" s="4"/>
      <c r="J59" s="4"/>
      <c r="K59" s="284"/>
      <c r="L59" s="284"/>
      <c r="M59" s="277"/>
      <c r="N59" s="3"/>
      <c r="O59" s="3"/>
      <c r="P59" s="3"/>
    </row>
    <row r="60" spans="2:16" ht="11.1">
      <c r="B60" s="3">
        <f t="shared" si="3"/>
        <v>57</v>
      </c>
      <c r="C60" s="4"/>
      <c r="D60" s="3"/>
      <c r="E60" s="4"/>
      <c r="F60" s="284"/>
      <c r="G60" s="3"/>
      <c r="H60" s="363"/>
      <c r="I60" s="4"/>
      <c r="J60" s="4"/>
      <c r="K60" s="284"/>
      <c r="L60" s="284"/>
      <c r="M60" s="5"/>
      <c r="N60" s="3"/>
      <c r="O60" s="3"/>
      <c r="P60" s="3"/>
    </row>
    <row r="61" spans="2:16" ht="11.1">
      <c r="B61" s="3">
        <f t="shared" si="3"/>
        <v>58</v>
      </c>
      <c r="C61" s="4"/>
      <c r="D61" s="3"/>
      <c r="E61" s="4"/>
      <c r="F61" s="284"/>
      <c r="G61" s="3"/>
      <c r="H61" s="363"/>
      <c r="I61" s="4"/>
      <c r="J61" s="4"/>
      <c r="K61" s="284"/>
      <c r="L61" s="284"/>
      <c r="M61" s="229"/>
      <c r="N61" s="3"/>
      <c r="O61" s="3"/>
      <c r="P61" s="3"/>
    </row>
    <row r="62" spans="2:16" ht="11.1">
      <c r="B62" s="3">
        <f t="shared" si="3"/>
        <v>59</v>
      </c>
      <c r="C62" s="4"/>
      <c r="D62" s="3"/>
      <c r="E62" s="4"/>
      <c r="F62" s="284"/>
      <c r="G62" s="3"/>
      <c r="H62" s="363"/>
      <c r="I62" s="4"/>
      <c r="J62" s="4"/>
      <c r="K62" s="284"/>
      <c r="L62" s="284"/>
      <c r="M62" s="277"/>
      <c r="N62" s="3"/>
      <c r="O62" s="3"/>
      <c r="P62" s="3"/>
    </row>
    <row r="63" spans="2:16" ht="11.1">
      <c r="B63" s="3">
        <f t="shared" si="3"/>
        <v>60</v>
      </c>
      <c r="C63" s="4"/>
      <c r="D63" s="3"/>
      <c r="E63" s="4"/>
      <c r="F63" s="3"/>
      <c r="G63" s="3"/>
      <c r="H63" s="363"/>
      <c r="I63" s="4"/>
      <c r="J63" s="4"/>
      <c r="K63" s="284"/>
      <c r="L63" s="284"/>
      <c r="M63" s="5"/>
      <c r="N63" s="3"/>
      <c r="O63" s="3"/>
      <c r="P63" s="3"/>
    </row>
    <row r="64" spans="2:16" ht="11.1">
      <c r="B64" s="3">
        <f t="shared" si="3"/>
        <v>61</v>
      </c>
      <c r="C64" s="4"/>
      <c r="D64" s="3"/>
      <c r="E64" s="4"/>
      <c r="F64" s="284"/>
      <c r="G64" s="3"/>
      <c r="H64" s="363"/>
      <c r="I64" s="4"/>
      <c r="J64" s="4"/>
      <c r="K64" s="284"/>
      <c r="L64" s="284"/>
      <c r="M64" s="3"/>
      <c r="N64" s="3"/>
      <c r="O64" s="3"/>
      <c r="P64" s="3"/>
    </row>
    <row r="65" spans="2:16" ht="11.1">
      <c r="B65" s="3">
        <f t="shared" si="3"/>
        <v>62</v>
      </c>
      <c r="C65" s="4"/>
      <c r="D65" s="3"/>
      <c r="E65" s="4"/>
      <c r="F65" s="284"/>
      <c r="G65" s="3"/>
      <c r="H65" s="363"/>
      <c r="I65" s="4"/>
      <c r="J65" s="4"/>
      <c r="K65" s="284"/>
      <c r="L65" s="284"/>
      <c r="M65" s="5"/>
      <c r="N65" s="3"/>
      <c r="O65" s="3"/>
      <c r="P65" s="3"/>
    </row>
    <row r="66" spans="2:16" ht="11.1">
      <c r="B66" s="3">
        <f t="shared" si="3"/>
        <v>63</v>
      </c>
      <c r="C66" s="4"/>
      <c r="D66" s="3"/>
      <c r="E66" s="4"/>
      <c r="F66" s="3"/>
      <c r="G66" s="3"/>
      <c r="H66" s="363"/>
      <c r="I66" s="4"/>
      <c r="J66" s="4"/>
      <c r="K66" s="284"/>
      <c r="L66" s="284"/>
      <c r="M66" s="5"/>
      <c r="N66" s="3"/>
      <c r="O66" s="3"/>
      <c r="P66" s="3"/>
    </row>
    <row r="67" spans="2:16" ht="11.1">
      <c r="B67" s="3">
        <f t="shared" si="3"/>
        <v>64</v>
      </c>
      <c r="C67" s="4"/>
      <c r="D67" s="3"/>
      <c r="E67" s="4"/>
      <c r="F67" s="284"/>
      <c r="G67" s="3"/>
      <c r="H67" s="363"/>
      <c r="I67" s="4"/>
      <c r="J67" s="4"/>
      <c r="K67" s="284"/>
      <c r="L67" s="284"/>
      <c r="M67" s="277"/>
      <c r="N67" s="3"/>
      <c r="O67" s="3"/>
      <c r="P67" s="3"/>
    </row>
    <row r="68" spans="2:16" ht="11.1">
      <c r="B68" s="3">
        <f t="shared" ref="B68:B100" si="4">ROW()-3</f>
        <v>65</v>
      </c>
      <c r="C68" s="4"/>
      <c r="D68" s="3"/>
      <c r="E68" s="4"/>
      <c r="F68" s="3"/>
      <c r="G68" s="3"/>
      <c r="H68" s="363"/>
      <c r="I68" s="4"/>
      <c r="J68" s="4"/>
      <c r="K68" s="284"/>
      <c r="L68" s="284"/>
      <c r="M68" s="5"/>
      <c r="N68" s="3"/>
      <c r="O68" s="3"/>
      <c r="P68" s="3"/>
    </row>
    <row r="69" spans="2:16" ht="11.1">
      <c r="B69" s="3">
        <f t="shared" si="4"/>
        <v>66</v>
      </c>
      <c r="C69" s="4"/>
      <c r="D69" s="3"/>
      <c r="E69" s="4"/>
      <c r="F69" s="3"/>
      <c r="G69" s="3"/>
      <c r="H69" s="363"/>
      <c r="I69" s="4"/>
      <c r="J69" s="4"/>
      <c r="K69" s="284"/>
      <c r="L69" s="284"/>
      <c r="M69" s="277"/>
      <c r="N69" s="3"/>
      <c r="O69" s="3"/>
      <c r="P69" s="3"/>
    </row>
    <row r="70" spans="2:16" ht="11.1">
      <c r="B70" s="3">
        <f t="shared" si="4"/>
        <v>67</v>
      </c>
      <c r="C70" s="4"/>
      <c r="D70" s="3"/>
      <c r="E70" s="4"/>
      <c r="F70" s="284"/>
      <c r="G70" s="3"/>
      <c r="H70" s="363"/>
      <c r="I70" s="4"/>
      <c r="J70" s="4"/>
      <c r="K70" s="284"/>
      <c r="L70" s="284"/>
      <c r="M70" s="3"/>
      <c r="N70" s="3"/>
      <c r="O70" s="3"/>
      <c r="P70" s="3"/>
    </row>
    <row r="71" spans="2:16" ht="11.1">
      <c r="B71" s="3">
        <f t="shared" si="4"/>
        <v>68</v>
      </c>
      <c r="C71" s="4"/>
      <c r="D71" s="3"/>
      <c r="E71" s="4"/>
      <c r="F71" s="3"/>
      <c r="G71" s="3"/>
      <c r="H71" s="363"/>
      <c r="I71" s="4"/>
      <c r="J71" s="4"/>
      <c r="K71" s="284"/>
      <c r="L71" s="284"/>
      <c r="M71" s="277"/>
      <c r="N71" s="3"/>
      <c r="O71" s="3"/>
      <c r="P71" s="3"/>
    </row>
    <row r="72" spans="2:16" ht="11.1">
      <c r="B72" s="3">
        <f t="shared" si="4"/>
        <v>69</v>
      </c>
      <c r="C72" s="4"/>
      <c r="D72" s="3"/>
      <c r="E72" s="4"/>
      <c r="F72" s="3"/>
      <c r="G72" s="3"/>
      <c r="H72" s="363"/>
      <c r="I72" s="4"/>
      <c r="J72" s="4"/>
      <c r="K72" s="284"/>
      <c r="L72" s="284"/>
      <c r="M72" s="277"/>
      <c r="N72" s="3"/>
      <c r="O72" s="3"/>
      <c r="P72" s="3"/>
    </row>
    <row r="73" spans="2:16" ht="11.1">
      <c r="B73" s="3">
        <f t="shared" si="4"/>
        <v>70</v>
      </c>
      <c r="C73" s="4"/>
      <c r="D73" s="3"/>
      <c r="E73" s="4"/>
      <c r="F73" s="284"/>
      <c r="G73" s="3"/>
      <c r="H73" s="363"/>
      <c r="I73" s="4"/>
      <c r="J73" s="4"/>
      <c r="K73" s="284"/>
      <c r="L73" s="284"/>
      <c r="M73" s="3"/>
      <c r="N73" s="3"/>
      <c r="O73" s="3"/>
      <c r="P73" s="3"/>
    </row>
    <row r="74" spans="2:16" ht="11.1">
      <c r="B74" s="3">
        <f t="shared" si="4"/>
        <v>71</v>
      </c>
      <c r="C74" s="4"/>
      <c r="D74" s="3"/>
      <c r="E74" s="4"/>
      <c r="F74" s="3"/>
      <c r="G74" s="3"/>
      <c r="H74" s="363"/>
      <c r="I74" s="4"/>
      <c r="J74" s="4"/>
      <c r="K74" s="284"/>
      <c r="L74" s="284"/>
      <c r="M74" s="277"/>
      <c r="N74" s="3"/>
      <c r="O74" s="3"/>
      <c r="P74" s="3"/>
    </row>
    <row r="75" spans="2:16" ht="11.1">
      <c r="B75" s="3">
        <f t="shared" si="4"/>
        <v>72</v>
      </c>
      <c r="C75" s="4"/>
      <c r="D75" s="5"/>
      <c r="E75" s="4"/>
      <c r="F75" s="284"/>
      <c r="G75" s="3"/>
      <c r="H75" s="363"/>
      <c r="I75" s="4"/>
      <c r="J75" s="4"/>
      <c r="K75" s="284"/>
      <c r="L75" s="284"/>
      <c r="M75" s="365"/>
      <c r="N75" s="3"/>
      <c r="O75" s="3"/>
      <c r="P75" s="3"/>
    </row>
    <row r="76" spans="2:16" ht="11.1">
      <c r="B76" s="3">
        <f t="shared" si="4"/>
        <v>73</v>
      </c>
      <c r="C76" s="4"/>
      <c r="D76" s="3"/>
      <c r="E76" s="4"/>
      <c r="F76" s="284"/>
      <c r="G76" s="3"/>
      <c r="H76" s="363"/>
      <c r="I76" s="4"/>
      <c r="J76" s="4"/>
      <c r="K76" s="284"/>
      <c r="L76" s="284"/>
      <c r="M76" s="5"/>
      <c r="N76" s="3"/>
      <c r="O76" s="3"/>
      <c r="P76" s="3"/>
    </row>
    <row r="77" spans="2:16" ht="11.1">
      <c r="B77" s="3">
        <f t="shared" si="4"/>
        <v>74</v>
      </c>
      <c r="C77" s="4"/>
      <c r="D77" s="3"/>
      <c r="E77" s="4"/>
      <c r="F77" s="3"/>
      <c r="G77" s="3"/>
      <c r="H77" s="363"/>
      <c r="I77" s="4"/>
      <c r="J77" s="4"/>
      <c r="K77" s="284"/>
      <c r="L77" s="284"/>
      <c r="M77" s="5"/>
      <c r="N77" s="3"/>
      <c r="O77" s="3"/>
      <c r="P77" s="3"/>
    </row>
    <row r="78" spans="2:16" ht="11.1">
      <c r="B78" s="3">
        <f t="shared" si="4"/>
        <v>75</v>
      </c>
      <c r="C78" s="4"/>
      <c r="D78" s="3"/>
      <c r="E78" s="4"/>
      <c r="F78" s="3"/>
      <c r="G78" s="3"/>
      <c r="H78" s="363"/>
      <c r="I78" s="4"/>
      <c r="J78" s="4"/>
      <c r="K78" s="284"/>
      <c r="L78" s="284"/>
      <c r="M78" s="277"/>
      <c r="N78" s="3"/>
      <c r="O78" s="3"/>
      <c r="P78" s="3"/>
    </row>
    <row r="79" spans="2:16" ht="11.1">
      <c r="B79" s="3">
        <f t="shared" si="4"/>
        <v>76</v>
      </c>
      <c r="C79" s="4"/>
      <c r="D79" s="3"/>
      <c r="E79" s="4"/>
      <c r="F79" s="284"/>
      <c r="G79" s="3"/>
      <c r="H79" s="363"/>
      <c r="I79" s="4"/>
      <c r="J79" s="4"/>
      <c r="K79" s="284"/>
      <c r="L79" s="284"/>
      <c r="M79" s="366"/>
      <c r="N79" s="3"/>
      <c r="O79" s="3"/>
      <c r="P79" s="3"/>
    </row>
    <row r="80" spans="2:16" ht="11.1">
      <c r="B80" s="3">
        <f t="shared" si="4"/>
        <v>77</v>
      </c>
      <c r="C80" s="4"/>
      <c r="D80" s="3"/>
      <c r="E80" s="4"/>
      <c r="F80" s="284"/>
      <c r="G80" s="3"/>
      <c r="H80" s="363"/>
      <c r="I80" s="4"/>
      <c r="J80" s="4"/>
      <c r="K80" s="284"/>
      <c r="L80" s="284"/>
      <c r="M80" s="366"/>
      <c r="N80" s="3"/>
      <c r="O80" s="3"/>
      <c r="P80" s="3"/>
    </row>
    <row r="81" spans="1:18" ht="11.1">
      <c r="B81" s="3">
        <f t="shared" si="4"/>
        <v>78</v>
      </c>
      <c r="C81" s="4"/>
      <c r="D81" s="3"/>
      <c r="E81" s="4"/>
      <c r="F81" s="284"/>
      <c r="G81" s="3"/>
      <c r="H81" s="363"/>
      <c r="I81" s="4"/>
      <c r="J81" s="4"/>
      <c r="K81" s="284"/>
      <c r="L81" s="284"/>
      <c r="M81" s="3"/>
      <c r="N81" s="3"/>
      <c r="O81" s="3"/>
      <c r="P81" s="3"/>
    </row>
    <row r="82" spans="1:18" ht="11.1">
      <c r="B82" s="3">
        <f t="shared" si="4"/>
        <v>79</v>
      </c>
      <c r="C82" s="4"/>
      <c r="D82" s="3"/>
      <c r="E82" s="4"/>
      <c r="F82" s="3"/>
      <c r="G82" s="3"/>
      <c r="H82" s="363"/>
      <c r="I82" s="4"/>
      <c r="J82" s="4"/>
      <c r="K82" s="284"/>
      <c r="L82" s="284"/>
      <c r="M82" s="277"/>
      <c r="N82" s="3"/>
      <c r="O82" s="3"/>
      <c r="P82" s="3"/>
      <c r="R82" t="s">
        <v>1557</v>
      </c>
    </row>
    <row r="83" spans="1:18" ht="11.1">
      <c r="B83" s="3">
        <f t="shared" si="4"/>
        <v>80</v>
      </c>
      <c r="C83" s="4"/>
      <c r="D83" s="3"/>
      <c r="E83" s="4"/>
      <c r="F83" s="284"/>
      <c r="G83" s="3"/>
      <c r="H83" s="363"/>
      <c r="I83" s="4"/>
      <c r="J83" s="4"/>
      <c r="K83" s="284"/>
      <c r="L83" s="284"/>
      <c r="M83" s="3"/>
      <c r="N83" s="3"/>
      <c r="O83" s="3"/>
      <c r="P83" s="3"/>
    </row>
    <row r="84" spans="1:18" ht="11.1">
      <c r="B84" s="3">
        <f t="shared" si="4"/>
        <v>81</v>
      </c>
      <c r="C84" s="4"/>
      <c r="D84" s="3"/>
      <c r="E84" s="4"/>
      <c r="F84" s="284"/>
      <c r="G84" s="3"/>
      <c r="H84" s="363"/>
      <c r="I84" s="4"/>
      <c r="J84" s="4"/>
      <c r="K84" s="284"/>
      <c r="L84" s="284"/>
      <c r="M84" s="362"/>
      <c r="N84" s="3"/>
      <c r="O84" s="3"/>
      <c r="P84" s="3"/>
    </row>
    <row r="85" spans="1:18" ht="11.1">
      <c r="B85" s="3">
        <f t="shared" si="4"/>
        <v>82</v>
      </c>
      <c r="C85" s="4"/>
      <c r="D85" s="3"/>
      <c r="E85" s="4"/>
      <c r="F85" s="284"/>
      <c r="G85" s="3"/>
      <c r="H85" s="363"/>
      <c r="I85" s="4"/>
      <c r="J85" s="4"/>
      <c r="K85" s="284"/>
      <c r="L85" s="284"/>
      <c r="M85" s="228"/>
      <c r="N85" s="3"/>
      <c r="O85" s="3"/>
      <c r="P85" s="3"/>
      <c r="R85" t="s">
        <v>1557</v>
      </c>
    </row>
    <row r="86" spans="1:18" ht="11.1">
      <c r="B86" s="3">
        <f t="shared" si="4"/>
        <v>83</v>
      </c>
      <c r="C86" s="4"/>
      <c r="D86" s="3"/>
      <c r="E86" s="4"/>
      <c r="F86" s="3"/>
      <c r="G86" s="3"/>
      <c r="H86" s="363"/>
      <c r="I86" s="4"/>
      <c r="J86" s="4"/>
      <c r="K86" s="284"/>
      <c r="L86" s="284"/>
      <c r="M86" s="277"/>
      <c r="N86" s="3"/>
      <c r="O86" s="3"/>
      <c r="P86" s="3"/>
      <c r="R86" t="s">
        <v>1557</v>
      </c>
    </row>
    <row r="87" spans="1:18" ht="11.1">
      <c r="B87" s="3">
        <f t="shared" si="4"/>
        <v>84</v>
      </c>
      <c r="C87" s="4"/>
      <c r="D87" s="3"/>
      <c r="E87" s="4"/>
      <c r="F87" s="284"/>
      <c r="G87" s="3"/>
      <c r="H87" s="363"/>
      <c r="I87" s="4"/>
      <c r="J87" s="4"/>
      <c r="K87" s="284"/>
      <c r="L87" s="284"/>
      <c r="M87" s="3"/>
      <c r="N87" s="3"/>
      <c r="O87" s="3"/>
      <c r="P87" s="3"/>
    </row>
    <row r="88" spans="1:18" ht="11.1">
      <c r="B88" s="3">
        <f t="shared" si="4"/>
        <v>85</v>
      </c>
      <c r="C88" s="4"/>
      <c r="D88" s="3"/>
      <c r="E88" s="4"/>
      <c r="F88" s="284"/>
      <c r="G88" s="3"/>
      <c r="H88" s="363"/>
      <c r="I88" s="4"/>
      <c r="J88" s="4"/>
      <c r="K88" s="284"/>
      <c r="L88" s="284"/>
      <c r="M88" s="277"/>
      <c r="N88" s="3"/>
      <c r="O88" s="3"/>
      <c r="P88" s="3"/>
    </row>
    <row r="89" spans="1:18" ht="11.1">
      <c r="B89" s="3">
        <f t="shared" si="4"/>
        <v>86</v>
      </c>
      <c r="C89" s="4"/>
      <c r="D89" s="3"/>
      <c r="E89" s="4"/>
      <c r="F89" s="284"/>
      <c r="G89" s="3"/>
      <c r="H89" s="363"/>
      <c r="I89" s="4"/>
      <c r="J89" s="4"/>
      <c r="K89" s="284"/>
      <c r="L89" s="284"/>
      <c r="M89" s="3"/>
      <c r="N89" s="3"/>
      <c r="O89" s="3"/>
      <c r="P89" s="3"/>
    </row>
    <row r="90" spans="1:18" ht="11.1">
      <c r="B90" s="3">
        <f t="shared" si="4"/>
        <v>87</v>
      </c>
      <c r="C90" s="4"/>
      <c r="D90" s="3"/>
      <c r="E90" s="4"/>
      <c r="F90" s="284"/>
      <c r="G90" s="3"/>
      <c r="H90" s="363"/>
      <c r="I90" s="4"/>
      <c r="J90" s="4"/>
      <c r="K90" s="284"/>
      <c r="L90" s="284"/>
      <c r="M90" s="3"/>
      <c r="N90" s="3"/>
      <c r="O90" s="3"/>
      <c r="P90" s="3"/>
    </row>
    <row r="91" spans="1:18" ht="11.1">
      <c r="B91" s="3">
        <f t="shared" si="4"/>
        <v>88</v>
      </c>
      <c r="C91" s="4"/>
      <c r="D91" s="3"/>
      <c r="E91" s="4"/>
      <c r="F91" s="284"/>
      <c r="G91" s="3"/>
      <c r="H91" s="363"/>
      <c r="I91" s="4"/>
      <c r="J91" s="4"/>
      <c r="K91" s="284"/>
      <c r="L91" s="284"/>
      <c r="M91" s="277"/>
      <c r="N91" s="3"/>
      <c r="O91" s="3"/>
      <c r="P91" s="3"/>
      <c r="R91" t="s">
        <v>1570</v>
      </c>
    </row>
    <row r="92" spans="1:18" ht="11.1">
      <c r="A92" t="s">
        <v>1388</v>
      </c>
      <c r="B92" s="3">
        <f t="shared" si="4"/>
        <v>89</v>
      </c>
      <c r="C92" s="4"/>
      <c r="D92" s="3"/>
      <c r="E92" s="4"/>
      <c r="F92" s="3"/>
      <c r="G92" s="3"/>
      <c r="H92" s="363"/>
      <c r="I92" s="4"/>
      <c r="J92" s="4"/>
      <c r="K92" s="284"/>
      <c r="L92" s="284"/>
      <c r="M92" s="5"/>
      <c r="N92" s="3"/>
      <c r="O92" s="3"/>
      <c r="P92" s="3"/>
      <c r="R92" t="s">
        <v>1573</v>
      </c>
    </row>
    <row r="93" spans="1:18" ht="33">
      <c r="B93" s="3">
        <f t="shared" si="4"/>
        <v>90</v>
      </c>
      <c r="C93" s="4"/>
      <c r="D93" s="3"/>
      <c r="E93" s="4"/>
      <c r="F93" s="284"/>
      <c r="G93" s="3"/>
      <c r="H93" s="363"/>
      <c r="I93" s="4"/>
      <c r="J93" s="4"/>
      <c r="K93" s="284"/>
      <c r="L93" s="284"/>
      <c r="M93" s="5"/>
      <c r="N93" s="3"/>
      <c r="O93" s="3"/>
      <c r="P93" s="3"/>
      <c r="R93" s="99" t="s">
        <v>1557</v>
      </c>
    </row>
    <row r="94" spans="1:18" ht="11.1">
      <c r="B94" s="3">
        <f t="shared" si="4"/>
        <v>91</v>
      </c>
      <c r="C94" s="4"/>
      <c r="D94" s="3"/>
      <c r="E94" s="4"/>
      <c r="F94" s="284"/>
      <c r="G94" s="3"/>
      <c r="H94" s="363"/>
      <c r="I94" s="4"/>
      <c r="J94" s="4"/>
      <c r="K94" s="284"/>
      <c r="L94" s="284"/>
      <c r="M94" s="5"/>
      <c r="N94" s="3"/>
      <c r="O94" s="3"/>
      <c r="P94" s="3"/>
    </row>
    <row r="95" spans="1:18" ht="11.1">
      <c r="B95" s="3">
        <f t="shared" si="4"/>
        <v>92</v>
      </c>
      <c r="C95" s="4"/>
      <c r="D95" s="3"/>
      <c r="E95" s="4"/>
      <c r="F95" s="3"/>
      <c r="G95" s="3"/>
      <c r="H95" s="363"/>
      <c r="I95" s="4"/>
      <c r="J95" s="4"/>
      <c r="K95" s="284"/>
      <c r="M95" s="5"/>
      <c r="N95" s="3"/>
      <c r="O95" s="3"/>
      <c r="P95" s="3"/>
    </row>
    <row r="96" spans="1:18" ht="11.1">
      <c r="B96" s="3">
        <f t="shared" si="4"/>
        <v>93</v>
      </c>
      <c r="C96" s="4"/>
      <c r="D96" s="3"/>
      <c r="E96" s="4"/>
      <c r="F96" s="284"/>
      <c r="G96" s="3"/>
      <c r="H96" s="363"/>
      <c r="I96" s="4"/>
      <c r="J96" s="4"/>
      <c r="K96" s="284"/>
      <c r="L96" s="284"/>
      <c r="M96" s="3"/>
      <c r="N96" s="3"/>
      <c r="O96" s="3"/>
      <c r="P96" s="3"/>
    </row>
    <row r="97" spans="2:16" ht="11.1">
      <c r="B97" s="3">
        <f t="shared" si="4"/>
        <v>94</v>
      </c>
      <c r="C97" s="4"/>
      <c r="D97" s="3"/>
      <c r="E97" s="4"/>
      <c r="F97" s="284"/>
      <c r="G97" s="3"/>
      <c r="H97" s="363"/>
      <c r="I97" s="4"/>
      <c r="J97" s="4"/>
      <c r="K97" s="284"/>
      <c r="L97" s="284"/>
      <c r="M97" s="3"/>
      <c r="N97" s="3"/>
      <c r="O97" s="3"/>
      <c r="P97" s="3"/>
    </row>
    <row r="98" spans="2:16" ht="11.1">
      <c r="B98" s="3">
        <f t="shared" si="4"/>
        <v>95</v>
      </c>
      <c r="C98" s="4"/>
      <c r="D98" s="3"/>
      <c r="E98" s="4"/>
      <c r="F98" s="284"/>
      <c r="G98" s="3"/>
      <c r="H98" s="363"/>
      <c r="I98" s="4"/>
      <c r="J98" s="4"/>
      <c r="K98" s="284"/>
      <c r="L98" s="284"/>
      <c r="M98" s="366"/>
      <c r="N98" s="3"/>
      <c r="O98" s="3"/>
      <c r="P98" s="3"/>
    </row>
    <row r="99" spans="2:16" ht="11.1">
      <c r="B99" s="3">
        <f t="shared" si="4"/>
        <v>96</v>
      </c>
      <c r="C99" s="4"/>
      <c r="D99" s="3"/>
      <c r="E99" s="4"/>
      <c r="F99" s="284"/>
      <c r="G99" s="3"/>
      <c r="H99" s="363"/>
      <c r="I99" s="4"/>
      <c r="J99" s="4"/>
      <c r="K99" s="284"/>
      <c r="L99" s="284"/>
      <c r="M99" s="366"/>
      <c r="N99" s="3"/>
      <c r="O99" s="3"/>
      <c r="P99" s="3"/>
    </row>
    <row r="100" spans="2:16" ht="11.1">
      <c r="B100" s="3">
        <f t="shared" si="4"/>
        <v>97</v>
      </c>
      <c r="C100" s="4"/>
      <c r="D100" s="3"/>
      <c r="E100" s="4"/>
      <c r="F100" s="284"/>
      <c r="G100" s="3"/>
      <c r="H100" s="363"/>
      <c r="I100" s="4"/>
      <c r="J100" s="4"/>
      <c r="K100" s="284"/>
      <c r="L100" s="284"/>
      <c r="M100" s="3"/>
      <c r="N100" s="3"/>
      <c r="O100" s="3"/>
      <c r="P100" s="3"/>
    </row>
    <row r="103" spans="2:16" ht="12" customHeight="1">
      <c r="D103" s="358"/>
      <c r="E103" s="166"/>
      <c r="F103" s="265"/>
      <c r="G103" s="265"/>
      <c r="H103" s="266"/>
      <c r="I103" s="172"/>
      <c r="J103" s="172"/>
    </row>
    <row r="104" spans="2:16" ht="12" customHeight="1">
      <c r="D104" s="367"/>
      <c r="E104" s="4"/>
      <c r="F104" s="3"/>
      <c r="G104" s="3"/>
      <c r="H104" s="3"/>
      <c r="I104" s="3"/>
      <c r="J104" s="3"/>
      <c r="K104" s="361"/>
      <c r="L104" s="359"/>
      <c r="M104" s="359"/>
      <c r="O104" s="359"/>
    </row>
    <row r="105" spans="2:16" ht="12" customHeight="1">
      <c r="D105" s="367"/>
      <c r="E105" s="4"/>
      <c r="F105" s="3"/>
      <c r="G105" s="3"/>
      <c r="H105" s="3"/>
      <c r="I105" s="3"/>
      <c r="J105" s="3"/>
      <c r="K105" s="361"/>
      <c r="L105" s="359"/>
      <c r="M105" s="359"/>
      <c r="O105" s="359"/>
    </row>
    <row r="106" spans="2:16" ht="12" customHeight="1">
      <c r="D106" s="367"/>
      <c r="E106" s="4"/>
      <c r="F106" s="3"/>
      <c r="G106" s="3"/>
      <c r="H106" s="3"/>
      <c r="I106" s="3"/>
      <c r="J106" s="3"/>
      <c r="K106" s="361"/>
      <c r="L106" s="359"/>
      <c r="M106" s="359"/>
      <c r="O106" s="359"/>
    </row>
    <row r="107" spans="2:16" ht="12" customHeight="1">
      <c r="D107" s="367"/>
      <c r="E107" s="4"/>
      <c r="F107" s="3"/>
      <c r="G107" s="3"/>
      <c r="H107" s="3"/>
      <c r="I107" s="3"/>
      <c r="J107" s="3"/>
      <c r="K107" s="361"/>
      <c r="L107" s="359"/>
      <c r="M107" s="359"/>
      <c r="O107" s="359"/>
    </row>
    <row r="108" spans="2:16" ht="12" customHeight="1">
      <c r="D108" s="367"/>
      <c r="E108" s="4"/>
      <c r="F108" s="3"/>
      <c r="G108" s="3"/>
      <c r="H108" s="3"/>
      <c r="I108" s="3"/>
      <c r="J108" s="3"/>
      <c r="K108" s="361"/>
      <c r="L108" s="359"/>
      <c r="M108" s="359"/>
      <c r="O108" s="359"/>
    </row>
    <row r="109" spans="2:16" ht="12" customHeight="1">
      <c r="D109" s="367"/>
      <c r="E109" s="4"/>
      <c r="F109" s="3"/>
      <c r="G109" s="3"/>
      <c r="H109" s="3"/>
      <c r="I109" s="3"/>
      <c r="J109" s="3"/>
      <c r="K109" s="361"/>
      <c r="L109" s="359"/>
      <c r="M109" s="359"/>
      <c r="O109" s="359"/>
    </row>
    <row r="110" spans="2:16" ht="12" customHeight="1">
      <c r="D110" s="367"/>
      <c r="E110" s="4"/>
      <c r="F110" s="3"/>
      <c r="G110" s="3"/>
      <c r="H110" s="3"/>
      <c r="I110" s="3"/>
      <c r="J110" s="3"/>
    </row>
    <row r="113" spans="4:12" ht="12" customHeight="1">
      <c r="D113" s="358"/>
      <c r="E113" s="166"/>
      <c r="F113" s="166"/>
      <c r="G113" s="166"/>
      <c r="H113" s="166"/>
      <c r="I113" s="166"/>
      <c r="J113" s="166"/>
      <c r="K113" s="264"/>
      <c r="L113" s="166"/>
    </row>
    <row r="114" spans="4:12" ht="12" customHeight="1">
      <c r="D114" s="367"/>
      <c r="E114" s="4"/>
      <c r="F114" s="3"/>
      <c r="G114" s="3"/>
      <c r="H114" s="3"/>
      <c r="I114" s="3"/>
      <c r="J114" s="3"/>
      <c r="K114" s="81"/>
      <c r="L114" s="3"/>
    </row>
    <row r="115" spans="4:12" ht="12" customHeight="1">
      <c r="D115" s="367"/>
      <c r="E115" s="4"/>
      <c r="F115" s="3"/>
      <c r="G115" s="3"/>
      <c r="H115" s="3"/>
      <c r="I115" s="3"/>
      <c r="J115" s="3"/>
      <c r="K115" s="81"/>
      <c r="L115" s="3"/>
    </row>
    <row r="116" spans="4:12" ht="12" customHeight="1">
      <c r="D116" s="367"/>
      <c r="E116" s="4"/>
      <c r="F116" s="3"/>
      <c r="G116" s="3"/>
      <c r="H116" s="3"/>
      <c r="I116" s="3"/>
      <c r="J116" s="3"/>
      <c r="K116" s="81"/>
      <c r="L116" s="3"/>
    </row>
    <row r="117" spans="4:12" ht="12" customHeight="1">
      <c r="D117" s="367"/>
      <c r="E117" s="4"/>
      <c r="F117" s="3"/>
      <c r="G117" s="3"/>
      <c r="H117" s="3"/>
      <c r="I117" s="3"/>
      <c r="J117" s="3"/>
      <c r="K117" s="81"/>
      <c r="L117" s="229"/>
    </row>
    <row r="118" spans="4:12" ht="12" customHeight="1">
      <c r="D118" s="367"/>
      <c r="E118" s="4"/>
      <c r="F118" s="3"/>
      <c r="G118" s="3"/>
      <c r="H118" s="3"/>
      <c r="I118" s="3"/>
      <c r="J118" s="3"/>
      <c r="K118" s="81"/>
      <c r="L118" s="3"/>
    </row>
    <row r="120" spans="4:12" ht="12" customHeight="1">
      <c r="D120" s="358"/>
      <c r="E120" s="166"/>
      <c r="F120" s="166"/>
      <c r="G120" s="166"/>
      <c r="H120" s="166"/>
      <c r="I120" s="166"/>
      <c r="J120" s="166"/>
      <c r="K120" s="166"/>
      <c r="L120" s="166"/>
    </row>
    <row r="121" spans="4:12" ht="12" customHeight="1">
      <c r="D121" s="367"/>
      <c r="E121" s="4"/>
      <c r="F121" s="3"/>
      <c r="G121" s="3"/>
      <c r="H121" s="3"/>
      <c r="I121" s="3"/>
      <c r="J121" s="3"/>
      <c r="K121" s="3"/>
      <c r="L121" s="3"/>
    </row>
    <row r="122" spans="4:12" ht="12" customHeight="1">
      <c r="D122" s="367"/>
      <c r="E122" s="4"/>
      <c r="F122" s="3"/>
      <c r="G122" s="3"/>
      <c r="H122" s="3"/>
      <c r="I122" s="3"/>
      <c r="J122" s="3"/>
      <c r="K122" s="3"/>
      <c r="L122" s="3"/>
    </row>
    <row r="123" spans="4:12" ht="12" customHeight="1">
      <c r="D123" s="367"/>
      <c r="E123" s="4"/>
      <c r="F123" s="3"/>
      <c r="G123" s="3"/>
      <c r="H123" s="3"/>
      <c r="I123" s="3"/>
      <c r="J123" s="3"/>
      <c r="K123" s="3"/>
      <c r="L123" s="3"/>
    </row>
    <row r="124" spans="4:12" ht="12" customHeight="1">
      <c r="D124" s="367"/>
      <c r="E124" s="4"/>
      <c r="F124" s="3"/>
      <c r="G124" s="3"/>
      <c r="H124" s="3"/>
      <c r="I124" s="3"/>
      <c r="J124" s="3"/>
      <c r="K124" s="3"/>
      <c r="L124" s="229"/>
    </row>
    <row r="125" spans="4:12" ht="12" customHeight="1">
      <c r="D125" s="367"/>
      <c r="E125" s="4"/>
      <c r="F125" s="3"/>
      <c r="G125" s="3"/>
      <c r="H125" s="3"/>
      <c r="I125" s="3"/>
      <c r="J125" s="3"/>
      <c r="K125" s="3"/>
      <c r="L125" s="3"/>
    </row>
    <row r="127" spans="4:12" ht="12" customHeight="1">
      <c r="D127" s="358"/>
      <c r="E127" s="166"/>
      <c r="F127" s="166"/>
      <c r="G127" s="166"/>
      <c r="H127" s="166"/>
      <c r="I127" s="166"/>
      <c r="J127" s="166"/>
      <c r="K127" s="166"/>
      <c r="L127" s="166"/>
    </row>
    <row r="128" spans="4:12" ht="12" customHeight="1">
      <c r="D128" s="367"/>
      <c r="E128" s="4"/>
      <c r="F128" s="3"/>
      <c r="G128" s="3"/>
      <c r="H128" s="3"/>
      <c r="I128" s="3"/>
      <c r="J128" s="3"/>
      <c r="K128" s="3"/>
      <c r="L128" s="3"/>
    </row>
    <row r="129" spans="4:12" ht="12" customHeight="1">
      <c r="D129" s="367"/>
      <c r="E129" s="4"/>
      <c r="F129" s="3"/>
      <c r="G129" s="3"/>
      <c r="H129" s="3"/>
      <c r="I129" s="3"/>
      <c r="J129" s="3"/>
      <c r="K129" s="3"/>
      <c r="L129" s="3"/>
    </row>
    <row r="130" spans="4:12" ht="12" customHeight="1">
      <c r="D130" s="367"/>
      <c r="E130" s="4"/>
      <c r="F130" s="3"/>
      <c r="G130" s="3"/>
      <c r="H130" s="3"/>
      <c r="I130" s="3"/>
      <c r="J130" s="3"/>
      <c r="K130" s="3"/>
      <c r="L130" s="3"/>
    </row>
    <row r="131" spans="4:12" ht="12" customHeight="1">
      <c r="D131" s="367"/>
      <c r="E131" s="4"/>
      <c r="F131" s="3"/>
      <c r="G131" s="3"/>
      <c r="H131" s="3"/>
      <c r="I131" s="3"/>
      <c r="J131" s="3"/>
      <c r="K131" s="3"/>
      <c r="L131" s="229"/>
    </row>
    <row r="132" spans="4:12" ht="12" customHeight="1">
      <c r="D132" s="367"/>
      <c r="E132" s="4"/>
      <c r="F132" s="3"/>
      <c r="G132" s="3"/>
      <c r="H132" s="3"/>
      <c r="I132" s="3"/>
      <c r="J132" s="3"/>
      <c r="K132" s="3"/>
      <c r="L132" s="3"/>
    </row>
    <row r="136" spans="4:12" ht="12" customHeight="1">
      <c r="D136" s="107"/>
    </row>
    <row r="137" spans="4:12" ht="12" customHeight="1">
      <c r="D137" s="107"/>
    </row>
    <row r="138" spans="4:12" ht="12" customHeight="1">
      <c r="D138" s="107"/>
    </row>
    <row r="139" spans="4:12" ht="12" customHeight="1">
      <c r="D139" s="107"/>
    </row>
    <row r="140" spans="4:12" ht="12" customHeight="1">
      <c r="D140" s="107"/>
    </row>
    <row r="146" spans="5:5" ht="12" customHeight="1">
      <c r="E146"/>
    </row>
    <row r="147" spans="5:5" ht="12" customHeight="1">
      <c r="E147" s="298"/>
    </row>
    <row r="148" spans="5:5" ht="12" customHeight="1">
      <c r="E148" s="299"/>
    </row>
    <row r="152" spans="5:5" ht="12" customHeight="1">
      <c r="E152" s="298"/>
    </row>
    <row r="153" spans="5:5" ht="12" customHeight="1">
      <c r="E153" s="299"/>
    </row>
  </sheetData>
  <autoFilter ref="A3:BU100" xr:uid="{7CFB2EBA-C860-4FB6-AEC0-BCAA1E2CC3EA}">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60" showButton="0"/>
    <filterColumn colId="61" showButton="0"/>
    <filterColumn colId="62" showButton="0"/>
    <filterColumn colId="63" showButton="0"/>
    <filterColumn colId="64" showButton="0"/>
    <filterColumn colId="67" showButton="0"/>
    <filterColumn colId="68" showButton="0"/>
    <filterColumn colId="69" showButton="0"/>
    <filterColumn colId="70" showButton="0"/>
  </autoFilter>
  <mergeCells count="69">
    <mergeCell ref="AW33:BA33"/>
    <mergeCell ref="BB33:BH33"/>
    <mergeCell ref="AW34:BA34"/>
    <mergeCell ref="BB34:BH34"/>
    <mergeCell ref="AW35:BA35"/>
    <mergeCell ref="BB35:BH35"/>
    <mergeCell ref="AW30:BA30"/>
    <mergeCell ref="BB30:BH30"/>
    <mergeCell ref="AW31:BA31"/>
    <mergeCell ref="BB31:BH31"/>
    <mergeCell ref="AW32:BA32"/>
    <mergeCell ref="BB32:BH32"/>
    <mergeCell ref="AW27:BA27"/>
    <mergeCell ref="BB27:BH27"/>
    <mergeCell ref="AW28:BA28"/>
    <mergeCell ref="BB28:BH28"/>
    <mergeCell ref="AW29:BA29"/>
    <mergeCell ref="BB29:BH29"/>
    <mergeCell ref="AW24:BA24"/>
    <mergeCell ref="BB24:BH24"/>
    <mergeCell ref="AW25:BA25"/>
    <mergeCell ref="BB25:BH25"/>
    <mergeCell ref="AW26:BA26"/>
    <mergeCell ref="BB26:BH26"/>
    <mergeCell ref="AW21:BA21"/>
    <mergeCell ref="BB21:BH21"/>
    <mergeCell ref="AW22:BA22"/>
    <mergeCell ref="BB22:BH22"/>
    <mergeCell ref="AW23:BA23"/>
    <mergeCell ref="BB23:BH23"/>
    <mergeCell ref="AW18:BA18"/>
    <mergeCell ref="BB18:BH18"/>
    <mergeCell ref="AW19:BA19"/>
    <mergeCell ref="BB19:BH19"/>
    <mergeCell ref="AW20:BA20"/>
    <mergeCell ref="BB20:BH20"/>
    <mergeCell ref="AW16:BA16"/>
    <mergeCell ref="BB16:BH16"/>
    <mergeCell ref="W17:AA17"/>
    <mergeCell ref="AB17:AF17"/>
    <mergeCell ref="AG17:AI17"/>
    <mergeCell ref="AJ17:AK17"/>
    <mergeCell ref="AW17:BA17"/>
    <mergeCell ref="BB17:BH17"/>
    <mergeCell ref="AW15:BA15"/>
    <mergeCell ref="BB15:BH15"/>
    <mergeCell ref="W8:AA8"/>
    <mergeCell ref="S11:S12"/>
    <mergeCell ref="T11:T12"/>
    <mergeCell ref="U11:U12"/>
    <mergeCell ref="V11:V12"/>
    <mergeCell ref="W11:AA11"/>
    <mergeCell ref="AB11:AF11"/>
    <mergeCell ref="AG11:AI11"/>
    <mergeCell ref="AJ11:AK11"/>
    <mergeCell ref="AW14:BA14"/>
    <mergeCell ref="BB14:BH14"/>
    <mergeCell ref="AG2:AH2"/>
    <mergeCell ref="AV2:BW2"/>
    <mergeCell ref="AW3:BG3"/>
    <mergeCell ref="BI3:BN3"/>
    <mergeCell ref="BP3:BT3"/>
    <mergeCell ref="BV3:BW3"/>
    <mergeCell ref="AB2:AF2"/>
    <mergeCell ref="S2:S3"/>
    <mergeCell ref="T2:T3"/>
    <mergeCell ref="U2:U3"/>
    <mergeCell ref="V2:V3"/>
    <mergeCell ref="W2:AA2"/>
  </mergeCells>
  <phoneticPr fontId="10"/>
  <conditionalFormatting sqref="H4:H100">
    <cfRule type="cellIs" dxfId="10" priority="5" operator="equal">
      <formula>1</formula>
    </cfRule>
    <cfRule type="cellIs" dxfId="9" priority="6" operator="between">
      <formula>0.8</formula>
      <formula>0.99</formula>
    </cfRule>
  </conditionalFormatting>
  <conditionalFormatting sqref="L4 L103">
    <cfRule type="cellIs" dxfId="8" priority="2" operator="equal">
      <formula>"N/A"</formula>
    </cfRule>
  </conditionalFormatting>
  <conditionalFormatting sqref="O4:O100">
    <cfRule type="cellIs" dxfId="7" priority="4" operator="equal">
      <formula>1</formula>
    </cfRule>
  </conditionalFormatting>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7B413-3AB0-4B6C-BC3E-7DEA627B980F}">
  <sheetPr filterMode="1"/>
  <dimension ref="B2:FI43"/>
  <sheetViews>
    <sheetView showGridLines="0" zoomScaleNormal="100" workbookViewId="0">
      <pane xSplit="6" ySplit="9" topLeftCell="G28" activePane="bottomRight" state="frozen"/>
      <selection pane="bottomRight" activeCell="B28" sqref="B28"/>
      <selection pane="bottomLeft" activeCell="A10" sqref="A10"/>
      <selection pane="topRight" activeCell="F1" sqref="F1"/>
    </sheetView>
  </sheetViews>
  <sheetFormatPr defaultColWidth="9" defaultRowHeight="11.1" outlineLevelCol="1"/>
  <cols>
    <col min="1" max="1" width="2.5703125" customWidth="1"/>
    <col min="2" max="2" width="24.42578125" bestFit="1" customWidth="1"/>
    <col min="3" max="4" width="8.140625" bestFit="1" customWidth="1"/>
    <col min="5" max="5" width="8.140625" customWidth="1"/>
    <col min="6" max="6" width="7.85546875" customWidth="1"/>
    <col min="7" max="18" width="6.85546875" customWidth="1" outlineLevel="1"/>
    <col min="19" max="19" width="10.140625" customWidth="1" outlineLevel="1"/>
    <col min="20" max="23" width="7.85546875" customWidth="1" outlineLevel="1"/>
    <col min="24" max="26" width="7.85546875" customWidth="1"/>
    <col min="27" max="27" width="11.7109375" customWidth="1"/>
    <col min="28" max="28" width="50.140625" customWidth="1"/>
    <col min="29" max="29" width="43" bestFit="1" customWidth="1"/>
    <col min="30" max="30" width="10.140625" customWidth="1"/>
    <col min="31" max="31" width="35.42578125" customWidth="1"/>
    <col min="32" max="32" width="9.140625" customWidth="1"/>
    <col min="33" max="33" width="35.42578125" customWidth="1"/>
    <col min="34" max="34" width="13" hidden="1" customWidth="1"/>
    <col min="35" max="35" width="13.42578125" bestFit="1" customWidth="1"/>
    <col min="36" max="36" width="10.7109375" bestFit="1" customWidth="1"/>
    <col min="37" max="37" width="13.42578125" bestFit="1" customWidth="1"/>
    <col min="38" max="38" width="9.85546875" bestFit="1" customWidth="1"/>
    <col min="39" max="39" width="47.85546875" customWidth="1"/>
    <col min="40" max="40" width="49.28515625" customWidth="1"/>
    <col min="41" max="41" width="10.5703125" bestFit="1" customWidth="1"/>
    <col min="42" max="44" width="11" customWidth="1"/>
    <col min="45" max="45" width="42.7109375" customWidth="1"/>
    <col min="46" max="165" width="10.5703125" customWidth="1"/>
  </cols>
  <sheetData>
    <row r="2" spans="2:165" ht="15">
      <c r="B2" s="25" t="s">
        <v>113</v>
      </c>
      <c r="C2" s="25"/>
      <c r="D2" s="25"/>
      <c r="E2" s="25"/>
      <c r="F2" s="25"/>
      <c r="G2" s="32" t="s">
        <v>114</v>
      </c>
      <c r="H2" s="16"/>
      <c r="I2" s="16"/>
      <c r="J2" s="16"/>
      <c r="K2" s="16"/>
      <c r="L2" s="16"/>
      <c r="M2" s="70"/>
      <c r="N2" s="16"/>
      <c r="O2" s="16"/>
      <c r="P2" s="71"/>
      <c r="Q2" s="1"/>
      <c r="T2" s="25"/>
      <c r="U2" s="25"/>
      <c r="V2" s="25"/>
      <c r="W2" s="25"/>
      <c r="X2" s="25"/>
      <c r="Y2" s="25"/>
      <c r="Z2" s="25"/>
      <c r="AA2" s="25"/>
      <c r="AC2" s="54"/>
      <c r="AD2" s="54"/>
      <c r="AE2" s="54"/>
      <c r="AF2" s="54"/>
      <c r="AG2" t="s">
        <v>187</v>
      </c>
      <c r="AO2" s="54"/>
    </row>
    <row r="3" spans="2:165">
      <c r="B3" s="24" t="s">
        <v>1769</v>
      </c>
      <c r="G3" s="1" t="s">
        <v>14</v>
      </c>
      <c r="I3" s="24" t="s">
        <v>116</v>
      </c>
      <c r="O3" s="24"/>
      <c r="P3" s="72"/>
      <c r="Q3" s="1"/>
      <c r="AC3" s="54"/>
      <c r="AD3" s="54"/>
      <c r="AE3" s="54"/>
      <c r="AF3" s="54"/>
      <c r="AG3" t="s">
        <v>190</v>
      </c>
      <c r="AO3" s="54"/>
    </row>
    <row r="4" spans="2:165">
      <c r="G4" s="34"/>
      <c r="I4" s="24" t="s">
        <v>117</v>
      </c>
      <c r="M4" s="24"/>
      <c r="O4" s="24"/>
      <c r="P4" s="72"/>
      <c r="Q4" s="1"/>
      <c r="AG4" t="s">
        <v>192</v>
      </c>
    </row>
    <row r="5" spans="2:165" ht="11.45" thickBot="1">
      <c r="G5" s="34" t="s">
        <v>15</v>
      </c>
      <c r="I5" s="24" t="s">
        <v>118</v>
      </c>
      <c r="M5" s="24"/>
      <c r="O5" s="24"/>
      <c r="P5" s="72"/>
      <c r="Q5" s="1"/>
      <c r="AG5" t="s">
        <v>194</v>
      </c>
    </row>
    <row r="6" spans="2:165" ht="12.95" thickBot="1">
      <c r="B6" s="78" t="s">
        <v>1770</v>
      </c>
      <c r="G6" s="2"/>
      <c r="H6" s="22"/>
      <c r="I6" s="22" t="s">
        <v>119</v>
      </c>
      <c r="J6" s="17"/>
      <c r="K6" s="17"/>
      <c r="L6" s="17"/>
      <c r="M6" s="17"/>
      <c r="N6" s="22"/>
      <c r="O6" s="22"/>
      <c r="P6" s="73"/>
      <c r="Q6" s="1"/>
      <c r="AG6" t="s">
        <v>196</v>
      </c>
      <c r="AQ6">
        <f>COUNTIF(AQ10:AQ25,"○")</f>
        <v>16</v>
      </c>
      <c r="AT6" s="10" t="s">
        <v>120</v>
      </c>
      <c r="AU6" s="51"/>
      <c r="AV6" s="11"/>
      <c r="AW6" s="11"/>
      <c r="AX6" s="11"/>
      <c r="AY6" s="11"/>
      <c r="AZ6" s="11"/>
      <c r="BA6" s="11"/>
      <c r="BB6" s="11"/>
      <c r="BC6" s="12"/>
      <c r="BD6" s="43" t="s">
        <v>121</v>
      </c>
      <c r="BE6" s="51"/>
      <c r="BF6" s="11"/>
      <c r="BG6" s="11"/>
      <c r="BH6" s="11"/>
      <c r="BI6" s="11"/>
      <c r="BJ6" s="11"/>
      <c r="BK6" s="11"/>
      <c r="BL6" s="11"/>
      <c r="BM6" s="12"/>
      <c r="BN6" s="43" t="s">
        <v>122</v>
      </c>
      <c r="BO6" s="51"/>
      <c r="BP6" s="11"/>
      <c r="BQ6" s="11"/>
      <c r="BR6" s="11"/>
      <c r="BS6" s="11"/>
      <c r="BT6" s="11"/>
      <c r="BU6" s="11"/>
      <c r="BV6" s="11"/>
      <c r="BW6" s="12"/>
      <c r="BX6" s="43" t="s">
        <v>123</v>
      </c>
      <c r="BY6" s="51"/>
      <c r="BZ6" s="11"/>
      <c r="CA6" s="11"/>
      <c r="CB6" s="11"/>
      <c r="CC6" s="11"/>
      <c r="CD6" s="11"/>
      <c r="CE6" s="11"/>
      <c r="CF6" s="11"/>
      <c r="CG6" s="12"/>
      <c r="CH6" s="43" t="s">
        <v>124</v>
      </c>
      <c r="CI6" s="51"/>
      <c r="CJ6" s="11"/>
      <c r="CK6" s="11"/>
      <c r="CL6" s="11"/>
      <c r="CM6" s="11"/>
      <c r="CN6" s="11"/>
      <c r="CO6" s="11"/>
      <c r="CP6" s="11"/>
      <c r="CQ6" s="12"/>
      <c r="CR6" s="43" t="s">
        <v>125</v>
      </c>
      <c r="CS6" s="51"/>
      <c r="CT6" s="11"/>
      <c r="CU6" s="11"/>
      <c r="CV6" s="11"/>
      <c r="CW6" s="11"/>
      <c r="CX6" s="11"/>
      <c r="CY6" s="11"/>
      <c r="CZ6" s="11"/>
      <c r="DA6" s="12"/>
      <c r="DB6" s="43" t="s">
        <v>126</v>
      </c>
      <c r="DC6" s="51"/>
      <c r="DD6" s="11"/>
      <c r="DE6" s="11"/>
      <c r="DF6" s="11"/>
      <c r="DG6" s="11"/>
      <c r="DH6" s="11"/>
      <c r="DI6" s="11"/>
      <c r="DJ6" s="11"/>
      <c r="DK6" s="12"/>
      <c r="DL6" s="43" t="s">
        <v>127</v>
      </c>
      <c r="DM6" s="51"/>
      <c r="DN6" s="11"/>
      <c r="DO6" s="11"/>
      <c r="DP6" s="11"/>
      <c r="DQ6" s="11"/>
      <c r="DR6" s="11"/>
      <c r="DS6" s="11"/>
      <c r="DT6" s="11"/>
      <c r="DU6" s="12"/>
      <c r="DV6" s="43" t="s">
        <v>128</v>
      </c>
      <c r="DW6" s="51"/>
      <c r="DX6" s="11"/>
      <c r="DY6" s="11"/>
      <c r="DZ6" s="11"/>
      <c r="EA6" s="11"/>
      <c r="EB6" s="11"/>
      <c r="EC6" s="11"/>
      <c r="ED6" s="11"/>
      <c r="EE6" s="12"/>
      <c r="EF6" s="43" t="s">
        <v>129</v>
      </c>
      <c r="EG6" s="51"/>
      <c r="EH6" s="11"/>
      <c r="EI6" s="11"/>
      <c r="EJ6" s="11"/>
      <c r="EK6" s="11"/>
      <c r="EL6" s="11"/>
      <c r="EM6" s="11"/>
      <c r="EN6" s="11"/>
      <c r="EO6" s="12"/>
      <c r="EP6" s="43" t="s">
        <v>130</v>
      </c>
      <c r="EQ6" s="51"/>
      <c r="ER6" s="11"/>
      <c r="ES6" s="11"/>
      <c r="ET6" s="11"/>
      <c r="EU6" s="11"/>
      <c r="EV6" s="11"/>
      <c r="EW6" s="11"/>
      <c r="EX6" s="11"/>
      <c r="EY6" s="12"/>
      <c r="EZ6" s="43" t="s">
        <v>131</v>
      </c>
      <c r="FA6" s="51"/>
      <c r="FB6" s="11"/>
      <c r="FC6" s="11"/>
      <c r="FD6" s="11"/>
      <c r="FE6" s="11"/>
      <c r="FF6" s="11"/>
      <c r="FG6" s="11"/>
      <c r="FH6" s="11"/>
      <c r="FI6" s="12"/>
    </row>
    <row r="7" spans="2:165">
      <c r="AQ7">
        <f>COUNTIF(AQ27:AQ36,"○")</f>
        <v>10</v>
      </c>
      <c r="AT7" s="18" t="s">
        <v>132</v>
      </c>
      <c r="AU7" s="12"/>
      <c r="AV7" s="18" t="s">
        <v>14</v>
      </c>
      <c r="AW7" s="11"/>
      <c r="AX7" s="12"/>
      <c r="AY7" s="18" t="s">
        <v>15</v>
      </c>
      <c r="AZ7" s="11"/>
      <c r="BA7" s="11"/>
      <c r="BB7" s="11"/>
      <c r="BC7" s="12"/>
      <c r="BD7" s="18" t="s">
        <v>132</v>
      </c>
      <c r="BE7" s="12"/>
      <c r="BF7" s="18" t="s">
        <v>14</v>
      </c>
      <c r="BG7" s="11"/>
      <c r="BH7" s="12"/>
      <c r="BI7" s="18" t="s">
        <v>15</v>
      </c>
      <c r="BJ7" s="11"/>
      <c r="BK7" s="11"/>
      <c r="BL7" s="11"/>
      <c r="BM7" s="12"/>
      <c r="BN7" s="18" t="s">
        <v>132</v>
      </c>
      <c r="BO7" s="12"/>
      <c r="BP7" s="18" t="s">
        <v>14</v>
      </c>
      <c r="BQ7" s="11"/>
      <c r="BR7" s="12"/>
      <c r="BS7" s="18" t="s">
        <v>15</v>
      </c>
      <c r="BT7" s="11"/>
      <c r="BU7" s="11"/>
      <c r="BV7" s="11"/>
      <c r="BW7" s="12"/>
      <c r="BX7" s="18" t="s">
        <v>132</v>
      </c>
      <c r="BY7" s="12"/>
      <c r="BZ7" s="18" t="s">
        <v>14</v>
      </c>
      <c r="CA7" s="11"/>
      <c r="CB7" s="12"/>
      <c r="CC7" s="18" t="s">
        <v>15</v>
      </c>
      <c r="CD7" s="11"/>
      <c r="CE7" s="11"/>
      <c r="CF7" s="11"/>
      <c r="CG7" s="12"/>
      <c r="CH7" s="18" t="s">
        <v>132</v>
      </c>
      <c r="CI7" s="12"/>
      <c r="CJ7" s="18" t="s">
        <v>14</v>
      </c>
      <c r="CK7" s="11"/>
      <c r="CL7" s="12"/>
      <c r="CM7" s="18" t="s">
        <v>15</v>
      </c>
      <c r="CN7" s="11"/>
      <c r="CO7" s="11"/>
      <c r="CP7" s="11"/>
      <c r="CQ7" s="12"/>
      <c r="CR7" s="18" t="s">
        <v>132</v>
      </c>
      <c r="CS7" s="12"/>
      <c r="CT7" s="18" t="s">
        <v>14</v>
      </c>
      <c r="CU7" s="11"/>
      <c r="CV7" s="12"/>
      <c r="CW7" s="18" t="s">
        <v>15</v>
      </c>
      <c r="CX7" s="11"/>
      <c r="CY7" s="11"/>
      <c r="CZ7" s="11"/>
      <c r="DA7" s="12"/>
      <c r="DB7" s="18" t="s">
        <v>132</v>
      </c>
      <c r="DC7" s="12"/>
      <c r="DD7" s="18" t="s">
        <v>14</v>
      </c>
      <c r="DE7" s="11"/>
      <c r="DF7" s="12"/>
      <c r="DG7" s="18" t="s">
        <v>15</v>
      </c>
      <c r="DH7" s="11"/>
      <c r="DI7" s="11"/>
      <c r="DJ7" s="11"/>
      <c r="DK7" s="12"/>
      <c r="DL7" s="18" t="s">
        <v>132</v>
      </c>
      <c r="DM7" s="12"/>
      <c r="DN7" s="18" t="s">
        <v>14</v>
      </c>
      <c r="DO7" s="11"/>
      <c r="DP7" s="12"/>
      <c r="DQ7" s="18" t="s">
        <v>15</v>
      </c>
      <c r="DR7" s="11"/>
      <c r="DS7" s="11"/>
      <c r="DT7" s="11"/>
      <c r="DU7" s="12"/>
      <c r="DV7" s="18" t="s">
        <v>132</v>
      </c>
      <c r="DW7" s="12"/>
      <c r="DX7" s="18" t="s">
        <v>14</v>
      </c>
      <c r="DY7" s="11"/>
      <c r="DZ7" s="12"/>
      <c r="EA7" s="18" t="s">
        <v>15</v>
      </c>
      <c r="EB7" s="11"/>
      <c r="EC7" s="11"/>
      <c r="ED7" s="11"/>
      <c r="EE7" s="12"/>
      <c r="EF7" s="18" t="s">
        <v>132</v>
      </c>
      <c r="EG7" s="12"/>
      <c r="EH7" s="18" t="s">
        <v>14</v>
      </c>
      <c r="EI7" s="11"/>
      <c r="EJ7" s="12"/>
      <c r="EK7" s="18" t="s">
        <v>15</v>
      </c>
      <c r="EL7" s="11"/>
      <c r="EM7" s="11"/>
      <c r="EN7" s="11"/>
      <c r="EO7" s="12"/>
      <c r="EP7" s="18" t="s">
        <v>132</v>
      </c>
      <c r="EQ7" s="12"/>
      <c r="ER7" s="18" t="s">
        <v>14</v>
      </c>
      <c r="ES7" s="11"/>
      <c r="ET7" s="12"/>
      <c r="EU7" s="18" t="s">
        <v>15</v>
      </c>
      <c r="EV7" s="11"/>
      <c r="EW7" s="11"/>
      <c r="EX7" s="11"/>
      <c r="EY7" s="12"/>
      <c r="EZ7" s="18" t="s">
        <v>132</v>
      </c>
      <c r="FA7" s="12"/>
      <c r="FB7" s="18" t="s">
        <v>14</v>
      </c>
      <c r="FC7" s="11"/>
      <c r="FD7" s="12"/>
      <c r="FE7" s="18" t="s">
        <v>15</v>
      </c>
      <c r="FF7" s="11"/>
      <c r="FG7" s="11"/>
      <c r="FH7" s="11"/>
      <c r="FI7" s="12"/>
    </row>
    <row r="8" spans="2:165">
      <c r="B8" s="494"/>
      <c r="C8" s="494"/>
      <c r="D8" s="494"/>
      <c r="E8" s="494"/>
      <c r="F8" s="494"/>
      <c r="G8" s="474" t="s">
        <v>133</v>
      </c>
      <c r="H8" s="494"/>
      <c r="I8" s="494"/>
      <c r="J8" s="494"/>
      <c r="K8" s="494"/>
      <c r="L8" s="494"/>
      <c r="M8" s="474"/>
      <c r="N8" s="494"/>
      <c r="O8" s="494"/>
      <c r="P8" s="494"/>
      <c r="Q8" s="494"/>
      <c r="R8" s="494"/>
      <c r="S8" s="494"/>
      <c r="T8" s="494"/>
      <c r="U8" s="494"/>
      <c r="V8" s="494"/>
      <c r="W8" s="494"/>
      <c r="X8" s="495"/>
      <c r="Y8" s="495"/>
      <c r="Z8" s="495"/>
      <c r="AA8" s="495"/>
      <c r="AB8" s="474" t="s">
        <v>134</v>
      </c>
      <c r="AC8" s="474" t="s">
        <v>135</v>
      </c>
      <c r="AD8" s="530" t="s">
        <v>197</v>
      </c>
      <c r="AE8" s="530"/>
      <c r="AF8" s="530" t="s">
        <v>198</v>
      </c>
      <c r="AG8" s="530"/>
      <c r="AH8" s="489"/>
      <c r="AI8" s="108"/>
      <c r="AJ8" s="108"/>
      <c r="AK8" s="108"/>
      <c r="AL8" s="108"/>
      <c r="AM8" s="108"/>
      <c r="AN8" s="108"/>
      <c r="AO8" s="108"/>
      <c r="AP8" s="500"/>
      <c r="AQ8" s="500"/>
      <c r="AR8" s="500"/>
      <c r="AS8" s="108"/>
      <c r="AT8" s="13"/>
      <c r="AU8" s="7"/>
      <c r="AV8" s="19" t="s">
        <v>116</v>
      </c>
      <c r="AW8" s="41"/>
      <c r="AX8" s="39"/>
      <c r="AY8" s="40" t="s">
        <v>136</v>
      </c>
      <c r="AZ8" s="38"/>
      <c r="BA8" s="39"/>
      <c r="BB8" s="19" t="s">
        <v>137</v>
      </c>
      <c r="BC8" s="15"/>
      <c r="BD8" s="13"/>
      <c r="BE8" s="7"/>
      <c r="BF8" s="19" t="s">
        <v>116</v>
      </c>
      <c r="BG8" s="41"/>
      <c r="BH8" s="39"/>
      <c r="BI8" s="40" t="s">
        <v>136</v>
      </c>
      <c r="BJ8" s="38"/>
      <c r="BK8" s="39"/>
      <c r="BL8" s="19" t="s">
        <v>137</v>
      </c>
      <c r="BM8" s="15"/>
      <c r="BN8" s="13"/>
      <c r="BO8" s="7"/>
      <c r="BP8" s="19" t="s">
        <v>116</v>
      </c>
      <c r="BQ8" s="41"/>
      <c r="BR8" s="39"/>
      <c r="BS8" s="40" t="s">
        <v>136</v>
      </c>
      <c r="BT8" s="38"/>
      <c r="BU8" s="39"/>
      <c r="BV8" s="19" t="s">
        <v>137</v>
      </c>
      <c r="BW8" s="15"/>
      <c r="BX8" s="13"/>
      <c r="BY8" s="7"/>
      <c r="BZ8" s="19" t="s">
        <v>116</v>
      </c>
      <c r="CA8" s="41"/>
      <c r="CB8" s="39"/>
      <c r="CC8" s="40" t="s">
        <v>136</v>
      </c>
      <c r="CD8" s="38"/>
      <c r="CE8" s="39"/>
      <c r="CF8" s="19" t="s">
        <v>137</v>
      </c>
      <c r="CG8" s="15"/>
      <c r="CH8" s="13"/>
      <c r="CI8" s="7"/>
      <c r="CJ8" s="19" t="s">
        <v>116</v>
      </c>
      <c r="CK8" s="41"/>
      <c r="CL8" s="39"/>
      <c r="CM8" s="40" t="s">
        <v>136</v>
      </c>
      <c r="CN8" s="38"/>
      <c r="CO8" s="39"/>
      <c r="CP8" s="19" t="s">
        <v>137</v>
      </c>
      <c r="CQ8" s="15"/>
      <c r="CR8" s="13"/>
      <c r="CS8" s="7"/>
      <c r="CT8" s="19" t="s">
        <v>116</v>
      </c>
      <c r="CU8" s="41"/>
      <c r="CV8" s="39"/>
      <c r="CW8" s="40" t="s">
        <v>136</v>
      </c>
      <c r="CX8" s="38"/>
      <c r="CY8" s="39"/>
      <c r="CZ8" s="19" t="s">
        <v>137</v>
      </c>
      <c r="DA8" s="15"/>
      <c r="DB8" s="13"/>
      <c r="DC8" s="7"/>
      <c r="DD8" s="19" t="s">
        <v>116</v>
      </c>
      <c r="DE8" s="41"/>
      <c r="DF8" s="39"/>
      <c r="DG8" s="40" t="s">
        <v>136</v>
      </c>
      <c r="DH8" s="38"/>
      <c r="DI8" s="39"/>
      <c r="DJ8" s="19" t="s">
        <v>137</v>
      </c>
      <c r="DK8" s="15"/>
      <c r="DL8" s="13"/>
      <c r="DM8" s="7"/>
      <c r="DN8" s="19" t="s">
        <v>116</v>
      </c>
      <c r="DO8" s="41"/>
      <c r="DP8" s="39"/>
      <c r="DQ8" s="40" t="s">
        <v>136</v>
      </c>
      <c r="DR8" s="38"/>
      <c r="DS8" s="39"/>
      <c r="DT8" s="19" t="s">
        <v>137</v>
      </c>
      <c r="DU8" s="15"/>
      <c r="DV8" s="13"/>
      <c r="DW8" s="7"/>
      <c r="DX8" s="19" t="s">
        <v>116</v>
      </c>
      <c r="DY8" s="41"/>
      <c r="DZ8" s="39"/>
      <c r="EA8" s="40" t="s">
        <v>136</v>
      </c>
      <c r="EB8" s="38"/>
      <c r="EC8" s="39"/>
      <c r="ED8" s="19" t="s">
        <v>137</v>
      </c>
      <c r="EE8" s="15"/>
      <c r="EF8" s="13"/>
      <c r="EG8" s="7"/>
      <c r="EH8" s="19" t="s">
        <v>116</v>
      </c>
      <c r="EI8" s="41"/>
      <c r="EJ8" s="39"/>
      <c r="EK8" s="40" t="s">
        <v>136</v>
      </c>
      <c r="EL8" s="38"/>
      <c r="EM8" s="39"/>
      <c r="EN8" s="19" t="s">
        <v>137</v>
      </c>
      <c r="EO8" s="15"/>
      <c r="EP8" s="13"/>
      <c r="EQ8" s="7"/>
      <c r="ER8" s="19" t="s">
        <v>116</v>
      </c>
      <c r="ES8" s="41"/>
      <c r="ET8" s="39"/>
      <c r="EU8" s="40" t="s">
        <v>136</v>
      </c>
      <c r="EV8" s="38"/>
      <c r="EW8" s="39"/>
      <c r="EX8" s="19" t="s">
        <v>137</v>
      </c>
      <c r="EY8" s="15"/>
      <c r="EZ8" s="13"/>
      <c r="FA8" s="7"/>
      <c r="FB8" s="19" t="s">
        <v>116</v>
      </c>
      <c r="FC8" s="41"/>
      <c r="FD8" s="39"/>
      <c r="FE8" s="40" t="s">
        <v>136</v>
      </c>
      <c r="FF8" s="38"/>
      <c r="FG8" s="39"/>
      <c r="FH8" s="19" t="s">
        <v>137</v>
      </c>
      <c r="FI8" s="15"/>
    </row>
    <row r="9" spans="2:165" ht="44.1">
      <c r="B9" s="494" t="s">
        <v>138</v>
      </c>
      <c r="C9" s="474" t="s">
        <v>1771</v>
      </c>
      <c r="D9" s="474" t="s">
        <v>139</v>
      </c>
      <c r="E9" s="474" t="s">
        <v>199</v>
      </c>
      <c r="F9" s="496" t="s">
        <v>140</v>
      </c>
      <c r="G9" s="497">
        <v>1</v>
      </c>
      <c r="H9" s="497">
        <v>2</v>
      </c>
      <c r="I9" s="497">
        <v>3</v>
      </c>
      <c r="J9" s="497">
        <v>4</v>
      </c>
      <c r="K9" s="497">
        <v>5</v>
      </c>
      <c r="L9" s="497">
        <v>6</v>
      </c>
      <c r="M9" s="497">
        <v>7</v>
      </c>
      <c r="N9" s="497">
        <v>8</v>
      </c>
      <c r="O9" s="497">
        <v>9</v>
      </c>
      <c r="P9" s="497">
        <v>10</v>
      </c>
      <c r="Q9" s="497">
        <v>11</v>
      </c>
      <c r="R9" s="497">
        <v>12</v>
      </c>
      <c r="S9" s="498" t="s">
        <v>145</v>
      </c>
      <c r="T9" s="496" t="s">
        <v>200</v>
      </c>
      <c r="U9" s="496" t="s">
        <v>201</v>
      </c>
      <c r="V9" s="496" t="s">
        <v>202</v>
      </c>
      <c r="W9" s="496" t="s">
        <v>13</v>
      </c>
      <c r="X9" s="499" t="s">
        <v>148</v>
      </c>
      <c r="Y9" s="499" t="s">
        <v>149</v>
      </c>
      <c r="Z9" s="499" t="s">
        <v>150</v>
      </c>
      <c r="AA9" s="499" t="s">
        <v>151</v>
      </c>
      <c r="AB9" s="496" t="s">
        <v>152</v>
      </c>
      <c r="AC9" s="496"/>
      <c r="AD9" s="183" t="s">
        <v>203</v>
      </c>
      <c r="AE9" s="183" t="s">
        <v>204</v>
      </c>
      <c r="AF9" s="183" t="s">
        <v>203</v>
      </c>
      <c r="AG9" s="183" t="s">
        <v>204</v>
      </c>
      <c r="AH9" s="490" t="s">
        <v>205</v>
      </c>
      <c r="AI9" s="501" t="s">
        <v>206</v>
      </c>
      <c r="AJ9" s="501" t="s">
        <v>207</v>
      </c>
      <c r="AK9" s="501" t="s">
        <v>208</v>
      </c>
      <c r="AL9" s="501" t="s">
        <v>209</v>
      </c>
      <c r="AM9" s="108" t="s">
        <v>210</v>
      </c>
      <c r="AN9" s="108" t="s">
        <v>211</v>
      </c>
      <c r="AO9" s="501" t="s">
        <v>212</v>
      </c>
      <c r="AP9" s="502" t="s">
        <v>1426</v>
      </c>
      <c r="AQ9" s="502" t="s">
        <v>1772</v>
      </c>
      <c r="AR9" s="502" t="s">
        <v>1773</v>
      </c>
      <c r="AS9" s="500" t="s">
        <v>154</v>
      </c>
      <c r="AT9" s="35" t="s">
        <v>155</v>
      </c>
      <c r="AU9" s="26" t="s">
        <v>156</v>
      </c>
      <c r="AV9" s="20" t="s">
        <v>157</v>
      </c>
      <c r="AW9" s="21" t="s">
        <v>165</v>
      </c>
      <c r="AX9" s="23" t="s">
        <v>159</v>
      </c>
      <c r="AY9" s="21" t="s">
        <v>160</v>
      </c>
      <c r="AZ9" s="21" t="s">
        <v>161</v>
      </c>
      <c r="BA9" s="21" t="s">
        <v>162</v>
      </c>
      <c r="BB9" s="21" t="s">
        <v>163</v>
      </c>
      <c r="BC9" s="23" t="s">
        <v>164</v>
      </c>
      <c r="BD9" s="35" t="s">
        <v>155</v>
      </c>
      <c r="BE9" s="26" t="s">
        <v>156</v>
      </c>
      <c r="BF9" s="20" t="s">
        <v>157</v>
      </c>
      <c r="BG9" s="21" t="s">
        <v>165</v>
      </c>
      <c r="BH9" s="23" t="s">
        <v>159</v>
      </c>
      <c r="BI9" s="21" t="s">
        <v>160</v>
      </c>
      <c r="BJ9" s="21" t="s">
        <v>161</v>
      </c>
      <c r="BK9" s="21" t="s">
        <v>162</v>
      </c>
      <c r="BL9" s="21" t="s">
        <v>163</v>
      </c>
      <c r="BM9" s="23" t="s">
        <v>164</v>
      </c>
      <c r="BN9" s="35" t="s">
        <v>155</v>
      </c>
      <c r="BO9" s="26" t="s">
        <v>156</v>
      </c>
      <c r="BP9" s="20" t="s">
        <v>157</v>
      </c>
      <c r="BQ9" s="21" t="s">
        <v>165</v>
      </c>
      <c r="BR9" s="23" t="s">
        <v>159</v>
      </c>
      <c r="BS9" s="21" t="s">
        <v>160</v>
      </c>
      <c r="BT9" s="21" t="s">
        <v>161</v>
      </c>
      <c r="BU9" s="21" t="s">
        <v>162</v>
      </c>
      <c r="BV9" s="21" t="s">
        <v>163</v>
      </c>
      <c r="BW9" s="23" t="s">
        <v>164</v>
      </c>
      <c r="BX9" s="35" t="s">
        <v>155</v>
      </c>
      <c r="BY9" s="26" t="s">
        <v>156</v>
      </c>
      <c r="BZ9" s="20" t="s">
        <v>157</v>
      </c>
      <c r="CA9" s="21" t="s">
        <v>165</v>
      </c>
      <c r="CB9" s="23" t="s">
        <v>159</v>
      </c>
      <c r="CC9" s="21" t="s">
        <v>160</v>
      </c>
      <c r="CD9" s="21" t="s">
        <v>161</v>
      </c>
      <c r="CE9" s="21" t="s">
        <v>162</v>
      </c>
      <c r="CF9" s="21" t="s">
        <v>163</v>
      </c>
      <c r="CG9" s="23" t="s">
        <v>164</v>
      </c>
      <c r="CH9" s="35" t="s">
        <v>155</v>
      </c>
      <c r="CI9" s="26" t="s">
        <v>156</v>
      </c>
      <c r="CJ9" s="20" t="s">
        <v>157</v>
      </c>
      <c r="CK9" s="21" t="s">
        <v>165</v>
      </c>
      <c r="CL9" s="23" t="s">
        <v>159</v>
      </c>
      <c r="CM9" s="21" t="s">
        <v>160</v>
      </c>
      <c r="CN9" s="21" t="s">
        <v>161</v>
      </c>
      <c r="CO9" s="21" t="s">
        <v>162</v>
      </c>
      <c r="CP9" s="21" t="s">
        <v>163</v>
      </c>
      <c r="CQ9" s="23" t="s">
        <v>164</v>
      </c>
      <c r="CR9" s="35" t="s">
        <v>155</v>
      </c>
      <c r="CS9" s="26" t="s">
        <v>156</v>
      </c>
      <c r="CT9" s="20" t="s">
        <v>157</v>
      </c>
      <c r="CU9" s="21" t="s">
        <v>165</v>
      </c>
      <c r="CV9" s="23" t="s">
        <v>159</v>
      </c>
      <c r="CW9" s="21" t="s">
        <v>160</v>
      </c>
      <c r="CX9" s="21" t="s">
        <v>161</v>
      </c>
      <c r="CY9" s="21" t="s">
        <v>162</v>
      </c>
      <c r="CZ9" s="21" t="s">
        <v>163</v>
      </c>
      <c r="DA9" s="23" t="s">
        <v>164</v>
      </c>
      <c r="DB9" s="35" t="s">
        <v>155</v>
      </c>
      <c r="DC9" s="26" t="s">
        <v>156</v>
      </c>
      <c r="DD9" s="20" t="s">
        <v>157</v>
      </c>
      <c r="DE9" s="21" t="s">
        <v>165</v>
      </c>
      <c r="DF9" s="23" t="s">
        <v>159</v>
      </c>
      <c r="DG9" s="21" t="s">
        <v>160</v>
      </c>
      <c r="DH9" s="21" t="s">
        <v>161</v>
      </c>
      <c r="DI9" s="21" t="s">
        <v>162</v>
      </c>
      <c r="DJ9" s="21" t="s">
        <v>163</v>
      </c>
      <c r="DK9" s="23" t="s">
        <v>164</v>
      </c>
      <c r="DL9" s="35" t="s">
        <v>155</v>
      </c>
      <c r="DM9" s="26" t="s">
        <v>156</v>
      </c>
      <c r="DN9" s="20" t="s">
        <v>157</v>
      </c>
      <c r="DO9" s="21" t="s">
        <v>165</v>
      </c>
      <c r="DP9" s="23" t="s">
        <v>159</v>
      </c>
      <c r="DQ9" s="21" t="s">
        <v>160</v>
      </c>
      <c r="DR9" s="21" t="s">
        <v>161</v>
      </c>
      <c r="DS9" s="21" t="s">
        <v>162</v>
      </c>
      <c r="DT9" s="21" t="s">
        <v>163</v>
      </c>
      <c r="DU9" s="23" t="s">
        <v>164</v>
      </c>
      <c r="DV9" s="35" t="s">
        <v>155</v>
      </c>
      <c r="DW9" s="26" t="s">
        <v>156</v>
      </c>
      <c r="DX9" s="20" t="s">
        <v>157</v>
      </c>
      <c r="DY9" s="21" t="s">
        <v>165</v>
      </c>
      <c r="DZ9" s="23" t="s">
        <v>159</v>
      </c>
      <c r="EA9" s="21" t="s">
        <v>160</v>
      </c>
      <c r="EB9" s="21" t="s">
        <v>161</v>
      </c>
      <c r="EC9" s="21" t="s">
        <v>162</v>
      </c>
      <c r="ED9" s="21" t="s">
        <v>163</v>
      </c>
      <c r="EE9" s="23" t="s">
        <v>164</v>
      </c>
      <c r="EF9" s="35" t="s">
        <v>155</v>
      </c>
      <c r="EG9" s="26" t="s">
        <v>156</v>
      </c>
      <c r="EH9" s="20" t="s">
        <v>157</v>
      </c>
      <c r="EI9" s="21" t="s">
        <v>165</v>
      </c>
      <c r="EJ9" s="23" t="s">
        <v>159</v>
      </c>
      <c r="EK9" s="21" t="s">
        <v>160</v>
      </c>
      <c r="EL9" s="21" t="s">
        <v>161</v>
      </c>
      <c r="EM9" s="21" t="s">
        <v>162</v>
      </c>
      <c r="EN9" s="21" t="s">
        <v>163</v>
      </c>
      <c r="EO9" s="23" t="s">
        <v>164</v>
      </c>
      <c r="EP9" s="35" t="s">
        <v>155</v>
      </c>
      <c r="EQ9" s="26" t="s">
        <v>156</v>
      </c>
      <c r="ER9" s="20" t="s">
        <v>157</v>
      </c>
      <c r="ES9" s="21" t="s">
        <v>165</v>
      </c>
      <c r="ET9" s="23" t="s">
        <v>159</v>
      </c>
      <c r="EU9" s="21" t="s">
        <v>160</v>
      </c>
      <c r="EV9" s="21" t="s">
        <v>161</v>
      </c>
      <c r="EW9" s="21" t="s">
        <v>162</v>
      </c>
      <c r="EX9" s="21" t="s">
        <v>163</v>
      </c>
      <c r="EY9" s="23" t="s">
        <v>164</v>
      </c>
      <c r="EZ9" s="35" t="s">
        <v>155</v>
      </c>
      <c r="FA9" s="26" t="s">
        <v>156</v>
      </c>
      <c r="FB9" s="20" t="s">
        <v>157</v>
      </c>
      <c r="FC9" s="21" t="s">
        <v>165</v>
      </c>
      <c r="FD9" s="23" t="s">
        <v>159</v>
      </c>
      <c r="FE9" s="21" t="s">
        <v>160</v>
      </c>
      <c r="FF9" s="21" t="s">
        <v>161</v>
      </c>
      <c r="FG9" s="21" t="s">
        <v>162</v>
      </c>
      <c r="FH9" s="21" t="s">
        <v>163</v>
      </c>
      <c r="FI9" s="23" t="s">
        <v>164</v>
      </c>
    </row>
    <row r="10" spans="2:165" ht="219.95" hidden="1">
      <c r="B10" s="227" t="s">
        <v>1774</v>
      </c>
      <c r="C10" s="227" t="s">
        <v>1775</v>
      </c>
      <c r="D10" s="227" t="s">
        <v>384</v>
      </c>
      <c r="E10" s="381" t="s">
        <v>313</v>
      </c>
      <c r="F10" s="381">
        <v>6</v>
      </c>
      <c r="G10" s="382" t="str">
        <f t="shared" ref="G10:G39" si="0">IF($F10&lt;G$9,"",IF(AND(AX10&gt;0.6,BA10&lt;=8,BB10=BC10),"○","×")&amp;CHAR(10)&amp;"[P・Q]"&amp;CHAR(10)&amp;IF(AX10="","--",IF(AX10&gt;0.6,"○","×"))&amp;IF(BA10="","・--",IF(BA10&lt;=8,"・○","・×")))</f>
        <v>×
[P・Q]
○・×</v>
      </c>
      <c r="H10" s="382" t="str">
        <f t="shared" ref="H10:H39" si="1">IF($F10&lt;H$9,"",IF(AND(BH10&gt;0.6,BK10&lt;=8,BL10=BM10),"○","×")&amp;CHAR(10)&amp;"[P・Q]"&amp;CHAR(10)&amp;IF(BH10="","--",IF(BH10&gt;0.6,"○","×"))&amp;IF(BK10="","・--",IF(BK10&lt;=8,"・○","・×")))</f>
        <v>×
[P・Q]
×・○</v>
      </c>
      <c r="I10" s="382" t="str">
        <f t="shared" ref="I10:I39" si="2">IF($F10&lt;I$9,"",IF(AND(BR10&gt;0.6,BU10&lt;=8,BV10=BW10),"○","×")&amp;CHAR(10)&amp;"[P・Q]"&amp;CHAR(10)&amp;IF(BR10="","--",IF(BR10&gt;0.6,"○","×"))&amp;IF(BU10="","・--",IF(BU10&lt;=8,"・○","・×")))</f>
        <v>○
[P・Q]
○・○</v>
      </c>
      <c r="J10" s="382" t="str">
        <f t="shared" ref="J10:J39" si="3">IF($F10&lt;J$9,"",IF(AND(CB10&gt;0.6,CE10&lt;=8,CF10=CG10),"○","×")&amp;CHAR(10)&amp;"[P・Q]"&amp;CHAR(10)&amp;IF(CB10="","--",IF(CB10&gt;0.6,"○","×"))&amp;IF(CE10="","・--",IF(CE10&lt;=8,"・○","・×")))</f>
        <v>×
[P・Q]
--・--</v>
      </c>
      <c r="K10" s="382" t="str">
        <f t="shared" ref="K10:K39" si="4">IF($F10&lt;K$9,"",IF(AND(CL10&gt;0.6,CO10&lt;=8,CP10=CQ10),"○","×")&amp;CHAR(10)&amp;"[P・Q]"&amp;CHAR(10)&amp;IF(CL10="","--",IF(CL10&gt;0.6,"○","×"))&amp;IF(CO10="","・--",IF(CO10&lt;=8,"・○","・×")))</f>
        <v>×
[P・Q]
○・--</v>
      </c>
      <c r="L10" s="382" t="str">
        <f t="shared" ref="L10:L39" si="5">IF($F10&lt;L$9,"",IF(AND(CV10&gt;0.6,CY10&lt;=8,CZ10=DA10),"○","×")&amp;CHAR(10)&amp;"[P・Q]"&amp;CHAR(10)&amp;IF(CV10="","--",IF(CV10&gt;0.6,"○","×"))&amp;IF(CZ10="","・--",IF(CZ10&lt;=8,"・○","・×")))</f>
        <v>×
[P・Q]
○・--</v>
      </c>
      <c r="M10" s="382" t="str">
        <f t="shared" ref="M10:M39" si="6">IF($F10&lt;M$9,"",IF(AND(DF10&gt;0.6,DI10&lt;=8,DJ10=DK10),"○","×")&amp;CHAR(10)&amp;"[P・Q]"&amp;CHAR(10)&amp;IF(DF10="","--",IF(DF10&gt;0.6,"○","×"))&amp;IF(DI10="","・--",IF(DI10&lt;=8,"・○","・×")))</f>
        <v/>
      </c>
      <c r="N10" s="382" t="str">
        <f t="shared" ref="N10:N39" si="7">IF($F10&lt;N$9,"",IF(AND(DP10&gt;0.6,DS10&lt;=8,DT10=DU10),"○","×")&amp;CHAR(10)&amp;"[P・Q]"&amp;CHAR(10)&amp;IF(DP10="","--",IF(DP10&gt;0.6,"○","×"))&amp;IF(DS10="","・--",IF(DS10&lt;=8,"・○","・×")))</f>
        <v/>
      </c>
      <c r="O10" s="382" t="str">
        <f>IF($F10&lt;O$9,"",IF(AND(DZ10&gt;0.6,EC10&lt;=8,ED10=EE10),"○","×")&amp;CHAR(10)&amp;"[P・Q]"&amp;CHAR(10)&amp;IF(DZ10="","--",IF(DZ10&gt;0.6,"○","×"))&amp;IF(EC10="","・--",IF(EC10&lt;=8,"・○","・×")))</f>
        <v/>
      </c>
      <c r="P10" s="382" t="str">
        <f t="shared" ref="P10:P39" si="8">IF($F10&lt;P$9,"",IF(AND(EJ10&gt;0.6,EM10&lt;=8,EN10=EO10),"○","×")&amp;CHAR(10)&amp;"[P・Q]"&amp;CHAR(10)&amp;IF(EJ10="","--",IF(EJ10&gt;0.6,"○","×"))&amp;IF(EM10="","・--",IF(EM10&lt;=8,"・○","・×")))</f>
        <v/>
      </c>
      <c r="Q10" s="382" t="str">
        <f t="shared" ref="Q10:Q39" si="9">IF($F10&lt;Q$9,"",IF(AND(ET10&gt;0.6,EW10&lt;=8,EX10=EY10),"○","×")&amp;CHAR(10)&amp;"[P・Q]"&amp;CHAR(10)&amp;IF(ET10="","--",IF(ET10&gt;0.6,"○","×"))&amp;IF(EW10="","・--",IF(EW10&lt;=8,"・○","・×")))</f>
        <v/>
      </c>
      <c r="R10" s="382" t="str">
        <f t="shared" ref="R10:R39" si="10">IF($F10&lt;R$9,"",IF(AND(FD10&gt;0.6,FG10&lt;=8,FH10=FI10),"○","×")&amp;CHAR(10)&amp;"[P・Q]"&amp;CHAR(10)&amp;IF(FD10="","--",IF(FD10&gt;0.6,"○","×"))&amp;IF(FG10="","・--",IF(FG10&lt;=8,"・○","・×")))</f>
        <v/>
      </c>
      <c r="S10" s="383">
        <f t="shared" ref="S10:S39" si="11">COUNTIF(AT10:FI10,"○")/F10</f>
        <v>0.83333333333333337</v>
      </c>
      <c r="T10" s="381">
        <v>4</v>
      </c>
      <c r="U10" s="381">
        <v>5</v>
      </c>
      <c r="V10" s="381">
        <v>5</v>
      </c>
      <c r="W10" s="381">
        <v>5</v>
      </c>
      <c r="X10" s="384">
        <f t="shared" ref="X10:X39" si="12">((COUNTIF(AX10,"&gt;=0.6")+COUNTIF(BH10,"&gt;=0.6")+COUNTIF(BR10,"&gt;=0.6")+COUNTIF(CB10,"&gt;=0.6")+COUNTIF(CL10,"&gt;=0.6")+COUNTIF(CV10,"&gt;=0.6")+COUNTIF(DF10,"&gt;=0.6")+COUNTIF(DP10,"&gt;=0.6")+COUNTIF(DZ10,"&gt;=0.6")+COUNTIF(EJ10,"&gt;=0.6")+COUNTIF(ET10,"&gt;=0.6")+COUNTIF(FD10,"&gt;=0.6"))*(75/(F10*2)))</f>
        <v>25</v>
      </c>
      <c r="Y10" s="384">
        <f t="shared" ref="Y10:Y39" si="13">((COUNTIF(BA10,"&lt;=8")+COUNTIF(BK10,"&lt;=8")+COUNTIF(BU10,"&lt;=8")+COUNTIF(CE10,"&lt;=8")+COUNTIF(CO10,"&lt;=8")+COUNTIF(CY10,"&lt;=8")+COUNTIF(DI10,"&lt;=8")+COUNTIF(DS10,"&lt;=8")+COUNTIF(EC10,"&lt;=8")+COUNTIF(EM10,"&lt;=8")+COUNTIF(EW10,"&lt;=8")+COUNTIF(FG10,"&lt;=8"))*(75/(F10*2)))</f>
        <v>12.5</v>
      </c>
      <c r="Z10" s="384" cm="1">
        <f t="array" ref="Z10">_xlfn.IFS(S10&gt;=0.8,5,S10&gt;=0.6,3,S10&gt;=0.2,1,S10&lt;0.2,0)</f>
        <v>5</v>
      </c>
      <c r="AA10" s="385">
        <f>SUM(T10:Z10)</f>
        <v>61.5</v>
      </c>
      <c r="AB10" s="449" t="s">
        <v>1776</v>
      </c>
      <c r="AC10" s="221" t="s">
        <v>1777</v>
      </c>
      <c r="AD10" s="333"/>
      <c r="AE10" s="221"/>
      <c r="AF10" s="221"/>
      <c r="AG10" s="221" t="s">
        <v>1778</v>
      </c>
      <c r="AH10" s="205"/>
      <c r="AI10" s="459">
        <f t="shared" ref="AI10:AI27" si="14">IFERROR(AVERAGE(AX10,BH10,BR10,CB10,CL10,CV10,DF10,DP10,DZ10,EJ10)," ")</f>
        <v>0.62856209150326792</v>
      </c>
      <c r="AJ10" s="460">
        <f t="shared" ref="AJ10:AJ27" si="15">IFERROR(AVERAGE(BA10,BK10,BU10,CE10,CO10,CY10,DI10,DS10,EC10,EM10)," ")</f>
        <v>8.7719298245614041</v>
      </c>
      <c r="AK10" s="333" t="str">
        <f t="shared" ref="AK10:AK27" si="16">IFERROR(IF(AI10&gt;=0.6,"HIGH","LOW"),"")</f>
        <v>HIGH</v>
      </c>
      <c r="AL10" s="386" t="str">
        <f t="shared" ref="AL10:AL27" si="17">IFERROR(IF(AJ10&lt;=8,"HIGH","LOW"),"")</f>
        <v>LOW</v>
      </c>
      <c r="AM10" s="493" t="s">
        <v>1779</v>
      </c>
      <c r="AN10" s="454" t="s">
        <v>1780</v>
      </c>
      <c r="AO10" s="462" t="str">
        <f>IF(AND(AA10&gt;Summary!$C$5, AA10&lt;=Summary!$D$5),Summary!$B$5,IF(AND(AA10&gt;Summary!$C$6, AA10&lt;=Summary!$D$6),Summary!$B$6,IF(AND(AA10&gt;Summary!$C$7, AA10&lt;=Summary!$D$7),Summary!$B$7,Summary!$B$8)))</f>
        <v>○</v>
      </c>
      <c r="AP10" s="223" t="s">
        <v>168</v>
      </c>
      <c r="AQ10" s="223" t="s">
        <v>168</v>
      </c>
      <c r="AR10" s="223" t="s">
        <v>1401</v>
      </c>
      <c r="AS10" s="463"/>
      <c r="AT10" s="36"/>
      <c r="AU10" s="4" t="s">
        <v>168</v>
      </c>
      <c r="AV10" s="6">
        <v>10.4</v>
      </c>
      <c r="AW10" s="6">
        <v>17</v>
      </c>
      <c r="AX10" s="33">
        <f>IF(AW10="","",AV10/AW10)</f>
        <v>0.61176470588235299</v>
      </c>
      <c r="AY10" s="42">
        <v>0.152</v>
      </c>
      <c r="AZ10" s="3">
        <v>4</v>
      </c>
      <c r="BA10" s="37">
        <f>IF(AZ10="","",AZ10/AY10)</f>
        <v>26.315789473684212</v>
      </c>
      <c r="BB10" s="3">
        <v>4</v>
      </c>
      <c r="BC10" s="3">
        <v>4</v>
      </c>
      <c r="BD10" s="36"/>
      <c r="BE10" s="4" t="s">
        <v>168</v>
      </c>
      <c r="BF10" s="6">
        <v>10.4</v>
      </c>
      <c r="BG10" s="6">
        <v>18</v>
      </c>
      <c r="BH10" s="33">
        <f>IF(BG10="","",BF10/BG10)</f>
        <v>0.57777777777777783</v>
      </c>
      <c r="BI10" s="42">
        <v>0.154</v>
      </c>
      <c r="BJ10" s="3">
        <v>0</v>
      </c>
      <c r="BK10" s="37">
        <f>IF(BJ10="","",BJ10/BI10)</f>
        <v>0</v>
      </c>
      <c r="BL10" s="3">
        <v>0</v>
      </c>
      <c r="BM10" s="3">
        <v>0</v>
      </c>
      <c r="BN10" s="36"/>
      <c r="BO10" s="4" t="s">
        <v>168</v>
      </c>
      <c r="BP10" s="6">
        <v>23.2</v>
      </c>
      <c r="BQ10" s="6">
        <v>36</v>
      </c>
      <c r="BR10" s="33">
        <f>IF(BQ10="","",BP10/BQ10)</f>
        <v>0.64444444444444438</v>
      </c>
      <c r="BS10" s="42">
        <v>1.131</v>
      </c>
      <c r="BT10" s="3">
        <v>0</v>
      </c>
      <c r="BU10" s="37">
        <f>IF(BT10="","",BT10/BS10)</f>
        <v>0</v>
      </c>
      <c r="BV10" s="3">
        <v>0</v>
      </c>
      <c r="BW10" s="3">
        <v>0</v>
      </c>
      <c r="BX10" s="36"/>
      <c r="BY10" s="4" t="s">
        <v>178</v>
      </c>
      <c r="BZ10" s="6">
        <v>15.2</v>
      </c>
      <c r="CA10" s="6"/>
      <c r="CB10" s="33" t="str">
        <f>IF(CA10="","",BZ10/CA10)</f>
        <v/>
      </c>
      <c r="CC10" s="42">
        <v>0.25700000000000001</v>
      </c>
      <c r="CD10" s="3"/>
      <c r="CE10" s="37" t="str">
        <f>IF(CD10="","",CD10/CC10)</f>
        <v/>
      </c>
      <c r="CF10" s="3"/>
      <c r="CG10" s="3"/>
      <c r="CH10" s="36"/>
      <c r="CI10" s="4" t="s">
        <v>168</v>
      </c>
      <c r="CJ10" s="6">
        <v>10.4</v>
      </c>
      <c r="CK10" s="6">
        <v>16</v>
      </c>
      <c r="CL10" s="33">
        <f>IF(CK10="","",CJ10/CK10)</f>
        <v>0.65</v>
      </c>
      <c r="CM10" s="42">
        <v>0.11</v>
      </c>
      <c r="CN10" s="3"/>
      <c r="CO10" s="37" t="str">
        <f>IF(CN10="","",CN10/CM10)</f>
        <v/>
      </c>
      <c r="CP10" s="3"/>
      <c r="CQ10" s="3"/>
      <c r="CR10" s="36"/>
      <c r="CS10" s="4" t="s">
        <v>168</v>
      </c>
      <c r="CT10" s="6">
        <v>22.4</v>
      </c>
      <c r="CU10" s="6">
        <v>34</v>
      </c>
      <c r="CV10" s="33">
        <f>IF(CU10="","",CT10/CU10)</f>
        <v>0.6588235294117647</v>
      </c>
      <c r="CW10" s="42">
        <v>0.51500000000000001</v>
      </c>
      <c r="CX10" s="3"/>
      <c r="CY10" s="37" t="str">
        <f>IF(CX10="","",CX10/CW10)</f>
        <v/>
      </c>
      <c r="CZ10" s="3"/>
      <c r="DA10" s="3"/>
      <c r="DB10" s="36"/>
      <c r="DC10" s="4"/>
      <c r="DD10" s="6"/>
      <c r="DE10" s="6"/>
      <c r="DF10" s="33" t="str">
        <f>IF(DE10="","",DD10/DE10)</f>
        <v/>
      </c>
      <c r="DG10" s="42"/>
      <c r="DH10" s="3"/>
      <c r="DI10" s="37" t="str">
        <f>IF(DH10="","",DH10/DG10)</f>
        <v/>
      </c>
      <c r="DJ10" s="3"/>
      <c r="DK10" s="3"/>
      <c r="DL10" s="36"/>
      <c r="DM10" s="4"/>
      <c r="DN10" s="6"/>
      <c r="DO10" s="6"/>
      <c r="DP10" s="33" t="str">
        <f>IF(DO10="","",DN10/DO10)</f>
        <v/>
      </c>
      <c r="DQ10" s="42"/>
      <c r="DR10" s="3"/>
      <c r="DS10" s="37" t="str">
        <f>IF(DR10="","",DR10/DQ10)</f>
        <v/>
      </c>
      <c r="DT10" s="3"/>
      <c r="DU10" s="3"/>
      <c r="DV10" s="36"/>
      <c r="DW10" s="4"/>
      <c r="DX10" s="6"/>
      <c r="DY10" s="6"/>
      <c r="DZ10" s="33" t="str">
        <f>IF(DY10="","",DX10/DY10)</f>
        <v/>
      </c>
      <c r="EA10" s="42"/>
      <c r="EB10" s="3"/>
      <c r="EC10" s="37" t="str">
        <f>IF(EB10="","",EB10/EA10)</f>
        <v/>
      </c>
      <c r="ED10" s="3"/>
      <c r="EE10" s="3"/>
      <c r="EF10" s="36"/>
      <c r="EG10" s="4"/>
      <c r="EH10" s="6"/>
      <c r="EI10" s="6"/>
      <c r="EJ10" s="33" t="str">
        <f>IF(EI10="","",EH10/EI10)</f>
        <v/>
      </c>
      <c r="EK10" s="42"/>
      <c r="EL10" s="3"/>
      <c r="EM10" s="37" t="str">
        <f>IF(EL10="","",EL10/EK10)</f>
        <v/>
      </c>
      <c r="EN10" s="3"/>
      <c r="EO10" s="3"/>
      <c r="EP10" s="36"/>
      <c r="EQ10" s="4"/>
      <c r="ER10" s="6"/>
      <c r="ES10" s="6"/>
      <c r="ET10" s="33" t="str">
        <f>IF(ES10="","",ER10/ES10)</f>
        <v/>
      </c>
      <c r="EU10" s="42"/>
      <c r="EV10" s="3"/>
      <c r="EW10" s="37" t="str">
        <f>IF(EV10="","",EV10/EU10)</f>
        <v/>
      </c>
      <c r="EX10" s="3"/>
      <c r="EY10" s="3"/>
      <c r="EZ10" s="36"/>
      <c r="FA10" s="4"/>
      <c r="FB10" s="6"/>
      <c r="FC10" s="6"/>
      <c r="FD10" s="33" t="str">
        <f>IF(FC10="","",FB10/FC10)</f>
        <v/>
      </c>
      <c r="FE10" s="42"/>
      <c r="FF10" s="3"/>
      <c r="FG10" s="37" t="str">
        <f>IF(FF10="","",FF10/FE10)</f>
        <v/>
      </c>
      <c r="FH10" s="3"/>
      <c r="FI10" s="3"/>
    </row>
    <row r="11" spans="2:165" ht="176.1" hidden="1">
      <c r="B11" s="27" t="s">
        <v>1717</v>
      </c>
      <c r="C11" s="3" t="s">
        <v>1775</v>
      </c>
      <c r="D11" s="27" t="s">
        <v>287</v>
      </c>
      <c r="E11" s="28" t="s">
        <v>313</v>
      </c>
      <c r="F11" s="28">
        <v>7</v>
      </c>
      <c r="G11" s="123" t="str">
        <f t="shared" si="0"/>
        <v>×
[P・Q]
×・○</v>
      </c>
      <c r="H11" s="123" t="str">
        <f t="shared" si="1"/>
        <v>×
[P・Q]
×・--</v>
      </c>
      <c r="I11" s="123" t="str">
        <f t="shared" si="2"/>
        <v>×
[P・Q]
×・--</v>
      </c>
      <c r="J11" s="123" t="str">
        <f t="shared" si="3"/>
        <v>×
[P・Q]
--・--</v>
      </c>
      <c r="K11" s="123" t="str">
        <f t="shared" si="4"/>
        <v>×
[P・Q]
--・--</v>
      </c>
      <c r="L11" s="123" t="str">
        <f t="shared" si="5"/>
        <v>×
[P・Q]
--・--</v>
      </c>
      <c r="M11" s="123" t="str">
        <f t="shared" si="6"/>
        <v>×
[P・Q]
--・--</v>
      </c>
      <c r="N11" s="123" t="str">
        <f t="shared" si="7"/>
        <v/>
      </c>
      <c r="O11" s="123" t="str">
        <f>IF($F11&lt;O$9,"",IF(AND(DZ11&gt;0.6,EC11&lt;=8,ED11=EE11),"○","×")&amp;CHAR(10)&amp;"[P・Q]"&amp;CHAR(10)&amp;IF(DZ11="","--",IF(DZ11&gt;0.6,"○","×"))&amp;IF(EC11="","・--",IF(EC11&lt;=8,"・○","・×")))</f>
        <v/>
      </c>
      <c r="P11" s="123" t="str">
        <f t="shared" si="8"/>
        <v/>
      </c>
      <c r="Q11" s="123" t="str">
        <f t="shared" si="9"/>
        <v/>
      </c>
      <c r="R11" s="123" t="str">
        <f t="shared" si="10"/>
        <v/>
      </c>
      <c r="S11" s="76">
        <f t="shared" si="11"/>
        <v>0.42857142857142855</v>
      </c>
      <c r="T11" s="28">
        <v>5</v>
      </c>
      <c r="U11" s="28">
        <v>5</v>
      </c>
      <c r="V11" s="28">
        <v>3</v>
      </c>
      <c r="W11" s="28">
        <v>5</v>
      </c>
      <c r="X11" s="77">
        <f t="shared" si="12"/>
        <v>0</v>
      </c>
      <c r="Y11" s="77">
        <f t="shared" si="13"/>
        <v>5.3571428571428568</v>
      </c>
      <c r="Z11" s="77" cm="1">
        <f t="array" ref="Z11">_xlfn.IFS(S11&gt;=0.8,5,S11&gt;=0.6,3,S11&gt;=0.2,1,S11&lt;0.2,0)</f>
        <v>1</v>
      </c>
      <c r="AA11" s="55">
        <f>SUM(T11:Z11)</f>
        <v>24.357142857142858</v>
      </c>
      <c r="AB11" s="5" t="s">
        <v>1781</v>
      </c>
      <c r="AC11" s="5" t="s">
        <v>1782</v>
      </c>
      <c r="AD11" s="80"/>
      <c r="AE11" s="5"/>
      <c r="AF11" s="5"/>
      <c r="AG11" s="5" t="s">
        <v>1783</v>
      </c>
      <c r="AH11" s="464"/>
      <c r="AI11" s="205">
        <f t="shared" si="14"/>
        <v>0.36700654370436298</v>
      </c>
      <c r="AJ11" s="206">
        <f t="shared" si="15"/>
        <v>0.51</v>
      </c>
      <c r="AK11" s="80" t="str">
        <f t="shared" si="16"/>
        <v>LOW</v>
      </c>
      <c r="AL11" s="80" t="str">
        <f t="shared" si="17"/>
        <v>HIGH</v>
      </c>
      <c r="AM11" s="280" t="s">
        <v>1784</v>
      </c>
      <c r="AN11" s="364"/>
      <c r="AO11" s="126" t="str">
        <f>IF(AND(AA11&gt;Summary!$C$5, AA11&lt;=Summary!$D$5),Summary!$B$5,IF(AND(AA11&gt;Summary!$C$6, AA11&lt;=Summary!$D$6),Summary!$B$6,IF(AND(AA11&gt;Summary!$C$7, AA11&lt;=Summary!$D$7),Summary!$B$7,Summary!$B$8)))</f>
        <v>×</v>
      </c>
      <c r="AP11" s="14" t="s">
        <v>178</v>
      </c>
      <c r="AQ11" s="14" t="s">
        <v>168</v>
      </c>
      <c r="AR11" s="14" t="s">
        <v>1402</v>
      </c>
      <c r="AS11" s="29"/>
      <c r="AT11" s="465"/>
      <c r="AU11" s="4" t="s">
        <v>168</v>
      </c>
      <c r="AV11" s="6">
        <v>10.4</v>
      </c>
      <c r="AW11" s="6">
        <v>35</v>
      </c>
      <c r="AX11" s="33">
        <f t="shared" ref="AX11:AX39" si="18">IF(AW11="","",AV11/AW11)</f>
        <v>0.29714285714285715</v>
      </c>
      <c r="AY11" s="42">
        <v>0.3</v>
      </c>
      <c r="AZ11" s="3">
        <v>0.153</v>
      </c>
      <c r="BA11" s="37">
        <f t="shared" ref="BA11:BA22" si="19">IF(AZ11="","",AZ11/AY11)</f>
        <v>0.51</v>
      </c>
      <c r="BB11" s="3"/>
      <c r="BC11" s="3"/>
      <c r="BD11" s="36"/>
      <c r="BE11" s="4" t="s">
        <v>168</v>
      </c>
      <c r="BF11" s="6">
        <v>22.4</v>
      </c>
      <c r="BG11" s="6">
        <v>53.5</v>
      </c>
      <c r="BH11" s="33">
        <f t="shared" ref="BH11:BH39" si="20">IF(BG11="","",BF11/BG11)</f>
        <v>0.4186915887850467</v>
      </c>
      <c r="BI11" s="42">
        <v>0.873</v>
      </c>
      <c r="BJ11" s="3"/>
      <c r="BK11" s="37" t="str">
        <f t="shared" ref="BK11:BK39" si="21">IF(BJ11="","",BJ11/BI11)</f>
        <v/>
      </c>
      <c r="BL11" s="3"/>
      <c r="BM11" s="3"/>
      <c r="BN11" s="36"/>
      <c r="BO11" s="4" t="s">
        <v>168</v>
      </c>
      <c r="BP11" s="6">
        <v>10.4</v>
      </c>
      <c r="BQ11" s="6">
        <v>27</v>
      </c>
      <c r="BR11" s="33">
        <f t="shared" ref="BR11:BR39" si="22">IF(BQ11="","",BP11/BQ11)</f>
        <v>0.38518518518518519</v>
      </c>
      <c r="BS11" s="42">
        <v>0.16300000000000001</v>
      </c>
      <c r="BT11" s="3"/>
      <c r="BU11" s="37" t="str">
        <f t="shared" ref="BU11:BU39" si="23">IF(BT11="","",BT11/BS11)</f>
        <v/>
      </c>
      <c r="BV11" s="3"/>
      <c r="BW11" s="3"/>
      <c r="BX11" s="36"/>
      <c r="BY11" s="4" t="s">
        <v>178</v>
      </c>
      <c r="BZ11" s="6">
        <v>16</v>
      </c>
      <c r="CA11" s="6"/>
      <c r="CB11" s="33" t="str">
        <f t="shared" ref="CB11:CB39" si="24">IF(CA11="","",BZ11/CA11)</f>
        <v/>
      </c>
      <c r="CC11" s="42">
        <v>0.87</v>
      </c>
      <c r="CD11" s="3"/>
      <c r="CE11" s="37" t="str">
        <f t="shared" ref="CE11:CE26" si="25">IF(CD11="","",CD11/CC11)</f>
        <v/>
      </c>
      <c r="CF11" s="3"/>
      <c r="CG11" s="3"/>
      <c r="CH11" s="36"/>
      <c r="CI11" s="4" t="s">
        <v>178</v>
      </c>
      <c r="CJ11" s="6">
        <v>10.4</v>
      </c>
      <c r="CK11" s="6"/>
      <c r="CL11" s="33" t="str">
        <f t="shared" ref="CL11:CL22" si="26">IF(CK11="","",CJ11/CK11)</f>
        <v/>
      </c>
      <c r="CM11" s="42">
        <v>0.9</v>
      </c>
      <c r="CN11" s="3"/>
      <c r="CO11" s="37" t="str">
        <f t="shared" ref="CO11:CO39" si="27">IF(CN11="","",CN11/CM11)</f>
        <v/>
      </c>
      <c r="CP11" s="3"/>
      <c r="CQ11" s="3"/>
      <c r="CR11" s="36"/>
      <c r="CS11" s="4" t="s">
        <v>178</v>
      </c>
      <c r="CT11" s="6">
        <v>10.4</v>
      </c>
      <c r="CU11" s="6"/>
      <c r="CV11" s="33" t="str">
        <f t="shared" ref="CV11:CV39" si="28">IF(CU11="","",CT11/CU11)</f>
        <v/>
      </c>
      <c r="CW11" s="42">
        <v>0.78</v>
      </c>
      <c r="CX11" s="3"/>
      <c r="CY11" s="37" t="str">
        <f t="shared" ref="CY11:CY39" si="29">IF(CX11="","",CX11/CW11)</f>
        <v/>
      </c>
      <c r="CZ11" s="3"/>
      <c r="DA11" s="3"/>
      <c r="DB11" s="36"/>
      <c r="DC11" s="4" t="s">
        <v>178</v>
      </c>
      <c r="DD11" s="6">
        <v>10.4</v>
      </c>
      <c r="DE11" s="6"/>
      <c r="DF11" s="33" t="str">
        <f t="shared" ref="DF11:DF39" si="30">IF(DE11="","",DD11/DE11)</f>
        <v/>
      </c>
      <c r="DG11" s="42">
        <v>0.78</v>
      </c>
      <c r="DH11" s="3"/>
      <c r="DI11" s="37" t="str">
        <f t="shared" ref="DI11:DI39" si="31">IF(DH11="","",DH11/DG11)</f>
        <v/>
      </c>
      <c r="DJ11" s="3"/>
      <c r="DK11" s="3"/>
      <c r="DL11" s="36"/>
      <c r="DM11" s="4"/>
      <c r="DN11" s="6"/>
      <c r="DO11" s="6"/>
      <c r="DP11" s="33" t="str">
        <f t="shared" ref="DP11:DP39" si="32">IF(DO11="","",DN11/DO11)</f>
        <v/>
      </c>
      <c r="DQ11" s="42"/>
      <c r="DR11" s="3"/>
      <c r="DS11" s="37" t="str">
        <f t="shared" ref="DS11:DS39" si="33">IF(DR11="","",DR11/DQ11)</f>
        <v/>
      </c>
      <c r="DT11" s="3"/>
      <c r="DU11" s="3"/>
      <c r="DV11" s="36"/>
      <c r="DW11" s="4"/>
      <c r="DX11" s="6"/>
      <c r="DY11" s="6"/>
      <c r="DZ11" s="33" t="str">
        <f t="shared" ref="DZ11:DZ39" si="34">IF(DY11="","",DX11/DY11)</f>
        <v/>
      </c>
      <c r="EA11" s="42"/>
      <c r="EB11" s="3"/>
      <c r="EC11" s="37" t="str">
        <f t="shared" ref="EC11:EC39" si="35">IF(EB11="","",EB11/EA11)</f>
        <v/>
      </c>
      <c r="ED11" s="3"/>
      <c r="EE11" s="3"/>
      <c r="EF11" s="36"/>
      <c r="EG11" s="4"/>
      <c r="EH11" s="6"/>
      <c r="EI11" s="6"/>
      <c r="EJ11" s="33" t="str">
        <f t="shared" ref="EJ11:EJ39" si="36">IF(EI11="","",EH11/EI11)</f>
        <v/>
      </c>
      <c r="EK11" s="42"/>
      <c r="EL11" s="3"/>
      <c r="EM11" s="37" t="str">
        <f t="shared" ref="EM11:EM39" si="37">IF(EL11="","",EL11/EK11)</f>
        <v/>
      </c>
      <c r="EN11" s="3"/>
      <c r="EO11" s="3"/>
      <c r="EP11" s="36"/>
      <c r="EQ11" s="4"/>
      <c r="ER11" s="6"/>
      <c r="ES11" s="6"/>
      <c r="ET11" s="33" t="str">
        <f t="shared" ref="ET11:ET39" si="38">IF(ES11="","",ER11/ES11)</f>
        <v/>
      </c>
      <c r="EU11" s="42"/>
      <c r="EV11" s="3"/>
      <c r="EW11" s="37" t="str">
        <f t="shared" ref="EW11:EW39" si="39">IF(EV11="","",EV11/EU11)</f>
        <v/>
      </c>
      <c r="EX11" s="3"/>
      <c r="EY11" s="3"/>
      <c r="EZ11" s="36"/>
      <c r="FA11" s="4"/>
      <c r="FB11" s="6"/>
      <c r="FC11" s="6"/>
      <c r="FD11" s="33" t="str">
        <f t="shared" ref="FD11:FD39" si="40">IF(FC11="","",FB11/FC11)</f>
        <v/>
      </c>
      <c r="FE11" s="42"/>
      <c r="FF11" s="3"/>
      <c r="FG11" s="37" t="str">
        <f t="shared" ref="FG11:FG39" si="41">IF(FF11="","",FF11/FE11)</f>
        <v/>
      </c>
      <c r="FH11" s="3"/>
      <c r="FI11" s="3"/>
    </row>
    <row r="12" spans="2:165" ht="120.95" hidden="1">
      <c r="B12" s="379" t="s">
        <v>1785</v>
      </c>
      <c r="C12" s="227" t="s">
        <v>1775</v>
      </c>
      <c r="D12" s="379" t="s">
        <v>287</v>
      </c>
      <c r="E12" s="381" t="s">
        <v>313</v>
      </c>
      <c r="F12" s="381">
        <v>6</v>
      </c>
      <c r="G12" s="382" t="str">
        <f t="shared" si="0"/>
        <v>×
[P・Q]
×・○</v>
      </c>
      <c r="H12" s="382" t="str">
        <f t="shared" si="1"/>
        <v>○
[P・Q]
○・○</v>
      </c>
      <c r="I12" s="382" t="str">
        <f t="shared" si="2"/>
        <v>○
[P・Q]
○・○</v>
      </c>
      <c r="J12" s="382" t="str">
        <f t="shared" si="3"/>
        <v>×
[P・Q]
○・--</v>
      </c>
      <c r="K12" s="382" t="str">
        <f t="shared" si="4"/>
        <v>×
[P・Q]
--・--</v>
      </c>
      <c r="L12" s="382" t="str">
        <f t="shared" si="5"/>
        <v>×
[P・Q]
○・--</v>
      </c>
      <c r="M12" s="382" t="str">
        <f t="shared" si="6"/>
        <v/>
      </c>
      <c r="N12" s="382" t="str">
        <f t="shared" si="7"/>
        <v/>
      </c>
      <c r="O12" s="382" t="str">
        <f>IF($F12&lt;O$9,"",IF(AND(DZ12&gt;0.6,EC12&lt;=8,ED12=EE12),"○","×")&amp;CHAR(10)&amp;"[P・Q]"&amp;CHAR(10)&amp;IF(DZ12="","--",IF(DZ12&gt;0.6,"○","×"))&amp;IF(EC12="","・--",IF(EC12&lt;=8,"・○","・×")))</f>
        <v/>
      </c>
      <c r="P12" s="382" t="str">
        <f t="shared" si="8"/>
        <v/>
      </c>
      <c r="Q12" s="382" t="str">
        <f t="shared" si="9"/>
        <v/>
      </c>
      <c r="R12" s="382" t="str">
        <f t="shared" si="10"/>
        <v/>
      </c>
      <c r="S12" s="383">
        <f t="shared" si="11"/>
        <v>0.83333333333333337</v>
      </c>
      <c r="T12" s="381">
        <v>4</v>
      </c>
      <c r="U12" s="381">
        <v>4</v>
      </c>
      <c r="V12" s="381">
        <v>5</v>
      </c>
      <c r="W12" s="381">
        <v>4</v>
      </c>
      <c r="X12" s="384">
        <f t="shared" si="12"/>
        <v>25</v>
      </c>
      <c r="Y12" s="384">
        <f t="shared" si="13"/>
        <v>18.75</v>
      </c>
      <c r="Z12" s="384" cm="1">
        <f t="array" ref="Z12">_xlfn.IFS(S12&gt;=0.8,5,S12&gt;=0.6,3,S12&gt;=0.2,1,S12&lt;0.2,0)</f>
        <v>5</v>
      </c>
      <c r="AA12" s="385">
        <f t="shared" ref="AA12" si="42">SUM(T12:Z12)</f>
        <v>65.75</v>
      </c>
      <c r="AB12" s="221" t="s">
        <v>1786</v>
      </c>
      <c r="AC12" s="221" t="s">
        <v>1787</v>
      </c>
      <c r="AD12" s="221"/>
      <c r="AE12" s="221"/>
      <c r="AF12" s="221"/>
      <c r="AG12" s="221" t="s">
        <v>1788</v>
      </c>
      <c r="AH12" s="5"/>
      <c r="AI12" s="459">
        <f t="shared" si="14"/>
        <v>0.61401362566579953</v>
      </c>
      <c r="AJ12" s="460">
        <f t="shared" si="15"/>
        <v>1.6666666666666667</v>
      </c>
      <c r="AK12" s="333" t="str">
        <f t="shared" si="16"/>
        <v>HIGH</v>
      </c>
      <c r="AL12" s="333" t="str">
        <f t="shared" si="17"/>
        <v>HIGH</v>
      </c>
      <c r="AM12" s="493" t="s">
        <v>1789</v>
      </c>
      <c r="AN12" s="454" t="s">
        <v>1790</v>
      </c>
      <c r="AO12" s="462" t="str">
        <f>IF(AND(AA12&gt;Summary!$C$5, AA12&lt;=Summary!$D$5),Summary!$B$5,IF(AND(AA12&gt;Summary!$C$6, AA12&lt;=Summary!$D$6),Summary!$B$6,IF(AND(AA12&gt;Summary!$C$7, AA12&lt;=Summary!$D$7),Summary!$B$7,Summary!$B$8)))</f>
        <v>○</v>
      </c>
      <c r="AP12" s="444" t="s">
        <v>168</v>
      </c>
      <c r="AQ12" s="223" t="s">
        <v>168</v>
      </c>
      <c r="AR12" s="223" t="s">
        <v>1401</v>
      </c>
      <c r="AS12" s="463"/>
      <c r="AT12" s="36"/>
      <c r="AU12" s="4" t="s">
        <v>168</v>
      </c>
      <c r="AV12" s="6">
        <v>10.4</v>
      </c>
      <c r="AW12" s="6">
        <v>27</v>
      </c>
      <c r="AX12" s="33">
        <f t="shared" si="18"/>
        <v>0.38518518518518519</v>
      </c>
      <c r="AY12" s="42">
        <v>0.3</v>
      </c>
      <c r="AZ12" s="3">
        <v>0</v>
      </c>
      <c r="BA12" s="37">
        <f t="shared" si="19"/>
        <v>0</v>
      </c>
      <c r="BB12" s="3">
        <v>0</v>
      </c>
      <c r="BC12" s="3">
        <v>0</v>
      </c>
      <c r="BD12" s="36"/>
      <c r="BE12" s="4" t="s">
        <v>168</v>
      </c>
      <c r="BF12" s="6">
        <v>22.4</v>
      </c>
      <c r="BG12" s="6">
        <v>32.5</v>
      </c>
      <c r="BH12" s="33">
        <f t="shared" si="20"/>
        <v>0.6892307692307692</v>
      </c>
      <c r="BI12" s="42">
        <v>1</v>
      </c>
      <c r="BJ12" s="3">
        <v>5</v>
      </c>
      <c r="BK12" s="37">
        <f t="shared" si="21"/>
        <v>5</v>
      </c>
      <c r="BL12" s="3">
        <v>5</v>
      </c>
      <c r="BM12" s="3">
        <v>5</v>
      </c>
      <c r="BN12" s="36"/>
      <c r="BO12" s="4" t="s">
        <v>168</v>
      </c>
      <c r="BP12" s="6">
        <v>10.4</v>
      </c>
      <c r="BQ12" s="6">
        <v>16</v>
      </c>
      <c r="BR12" s="33">
        <f t="shared" si="22"/>
        <v>0.65</v>
      </c>
      <c r="BS12" s="42">
        <v>0.153</v>
      </c>
      <c r="BT12" s="3">
        <v>0</v>
      </c>
      <c r="BU12" s="37">
        <f t="shared" si="23"/>
        <v>0</v>
      </c>
      <c r="BV12" s="3">
        <v>0</v>
      </c>
      <c r="BW12" s="3">
        <v>0</v>
      </c>
      <c r="BX12" s="36"/>
      <c r="BY12" s="4" t="s">
        <v>168</v>
      </c>
      <c r="BZ12" s="6">
        <v>10.4</v>
      </c>
      <c r="CA12" s="6">
        <v>16</v>
      </c>
      <c r="CB12" s="33">
        <f t="shared" si="24"/>
        <v>0.65</v>
      </c>
      <c r="CC12" s="42">
        <v>0.46800000000000003</v>
      </c>
      <c r="CD12" s="3"/>
      <c r="CE12" s="37" t="str">
        <f t="shared" si="25"/>
        <v/>
      </c>
      <c r="CF12" s="3"/>
      <c r="CG12" s="3"/>
      <c r="CH12" s="36"/>
      <c r="CI12" s="4" t="s">
        <v>178</v>
      </c>
      <c r="CJ12" s="6">
        <v>22.4</v>
      </c>
      <c r="CK12" s="6"/>
      <c r="CL12" s="33" t="str">
        <f t="shared" si="26"/>
        <v/>
      </c>
      <c r="CM12" s="42">
        <v>0.56599999999999995</v>
      </c>
      <c r="CN12" s="3"/>
      <c r="CO12" s="37" t="str">
        <f t="shared" si="27"/>
        <v/>
      </c>
      <c r="CP12" s="3"/>
      <c r="CQ12" s="3"/>
      <c r="CR12" s="36"/>
      <c r="CS12" s="4" t="s">
        <v>168</v>
      </c>
      <c r="CT12" s="6">
        <v>16</v>
      </c>
      <c r="CU12" s="6">
        <v>23</v>
      </c>
      <c r="CV12" s="33">
        <f t="shared" si="28"/>
        <v>0.69565217391304346</v>
      </c>
      <c r="CW12" s="42">
        <v>1.089</v>
      </c>
      <c r="CX12" s="3"/>
      <c r="CY12" s="37" t="str">
        <f t="shared" si="29"/>
        <v/>
      </c>
      <c r="CZ12" s="3"/>
      <c r="DA12" s="3"/>
      <c r="DB12" s="36"/>
      <c r="DC12" s="4"/>
      <c r="DD12" s="6"/>
      <c r="DE12" s="6"/>
      <c r="DF12" s="33" t="str">
        <f t="shared" si="30"/>
        <v/>
      </c>
      <c r="DG12" s="42"/>
      <c r="DH12" s="3"/>
      <c r="DI12" s="37" t="str">
        <f t="shared" si="31"/>
        <v/>
      </c>
      <c r="DJ12" s="3"/>
      <c r="DK12" s="3"/>
      <c r="DL12" s="36"/>
      <c r="DM12" s="4"/>
      <c r="DN12" s="6"/>
      <c r="DO12" s="6"/>
      <c r="DP12" s="33" t="str">
        <f t="shared" si="32"/>
        <v/>
      </c>
      <c r="DQ12" s="42"/>
      <c r="DR12" s="3"/>
      <c r="DS12" s="37" t="str">
        <f t="shared" si="33"/>
        <v/>
      </c>
      <c r="DT12" s="3"/>
      <c r="DU12" s="3"/>
      <c r="DV12" s="36"/>
      <c r="DW12" s="4"/>
      <c r="DX12" s="6"/>
      <c r="DY12" s="6"/>
      <c r="DZ12" s="33" t="str">
        <f t="shared" si="34"/>
        <v/>
      </c>
      <c r="EA12" s="42"/>
      <c r="EB12" s="3"/>
      <c r="EC12" s="37" t="str">
        <f t="shared" si="35"/>
        <v/>
      </c>
      <c r="ED12" s="3"/>
      <c r="EE12" s="3"/>
      <c r="EF12" s="36"/>
      <c r="EG12" s="4"/>
      <c r="EH12" s="6"/>
      <c r="EI12" s="6"/>
      <c r="EJ12" s="33" t="str">
        <f t="shared" si="36"/>
        <v/>
      </c>
      <c r="EK12" s="42"/>
      <c r="EL12" s="3"/>
      <c r="EM12" s="37" t="str">
        <f t="shared" si="37"/>
        <v/>
      </c>
      <c r="EN12" s="3"/>
      <c r="EO12" s="3"/>
      <c r="EP12" s="36"/>
      <c r="EQ12" s="4"/>
      <c r="ER12" s="6"/>
      <c r="ES12" s="6"/>
      <c r="ET12" s="33" t="str">
        <f t="shared" si="38"/>
        <v/>
      </c>
      <c r="EU12" s="42"/>
      <c r="EV12" s="3"/>
      <c r="EW12" s="37" t="str">
        <f t="shared" si="39"/>
        <v/>
      </c>
      <c r="EX12" s="3"/>
      <c r="EY12" s="3"/>
      <c r="EZ12" s="36"/>
      <c r="FA12" s="4"/>
      <c r="FB12" s="6"/>
      <c r="FC12" s="6"/>
      <c r="FD12" s="33" t="str">
        <f t="shared" si="40"/>
        <v/>
      </c>
      <c r="FE12" s="42"/>
      <c r="FF12" s="3"/>
      <c r="FG12" s="37" t="str">
        <f t="shared" si="41"/>
        <v/>
      </c>
      <c r="FH12" s="3"/>
      <c r="FI12" s="3"/>
    </row>
    <row r="13" spans="2:165" ht="285.95" hidden="1">
      <c r="B13" s="3" t="s">
        <v>1791</v>
      </c>
      <c r="C13" s="3" t="s">
        <v>1775</v>
      </c>
      <c r="D13" s="3" t="s">
        <v>287</v>
      </c>
      <c r="E13" s="28" t="s">
        <v>313</v>
      </c>
      <c r="F13" s="28">
        <v>4</v>
      </c>
      <c r="G13" s="123" t="str">
        <f t="shared" si="0"/>
        <v>×
[P・Q]
×・○</v>
      </c>
      <c r="H13" s="123" t="str">
        <f t="shared" si="1"/>
        <v>○
[P・Q]
○・○</v>
      </c>
      <c r="I13" s="123" t="str">
        <f t="shared" si="2"/>
        <v>×
[P・Q]
×・--</v>
      </c>
      <c r="J13" s="123" t="str">
        <f t="shared" si="3"/>
        <v>×
[P・Q]
--・--</v>
      </c>
      <c r="K13" s="123" t="str">
        <f t="shared" si="4"/>
        <v/>
      </c>
      <c r="L13" s="123" t="str">
        <f t="shared" si="5"/>
        <v/>
      </c>
      <c r="M13" s="123" t="str">
        <f t="shared" si="6"/>
        <v/>
      </c>
      <c r="N13" s="123" t="str">
        <f t="shared" si="7"/>
        <v/>
      </c>
      <c r="O13" s="123" t="str">
        <f>IF($F13&lt;O$9,"",IF(AND(DZ13&gt;0.6,EC13&lt;=8,ED13=EE13),"○","×")&amp;CHAR(10)&amp;"[P・Q]"&amp;CHAR(10)&amp;IF(DZ13="","--",IF(DZ13&gt;0.6,"○","×"))&amp;IF(EC13="","・--",IF(EC13&lt;=8,"・○","・×")))</f>
        <v/>
      </c>
      <c r="P13" s="123" t="str">
        <f t="shared" si="8"/>
        <v/>
      </c>
      <c r="Q13" s="123" t="str">
        <f t="shared" si="9"/>
        <v/>
      </c>
      <c r="R13" s="123" t="str">
        <f t="shared" si="10"/>
        <v/>
      </c>
      <c r="S13" s="76">
        <f t="shared" si="11"/>
        <v>0.75</v>
      </c>
      <c r="T13" s="28">
        <v>5</v>
      </c>
      <c r="U13" s="28">
        <v>4</v>
      </c>
      <c r="V13" s="28">
        <v>4</v>
      </c>
      <c r="W13" s="28">
        <v>5</v>
      </c>
      <c r="X13" s="77">
        <f t="shared" si="12"/>
        <v>9.375</v>
      </c>
      <c r="Y13" s="77">
        <f t="shared" si="13"/>
        <v>18.75</v>
      </c>
      <c r="Z13" s="77" cm="1">
        <f t="array" ref="Z13">_xlfn.IFS(S13&gt;=0.8,5,S13&gt;=0.6,3,S13&gt;=0.2,1,S13&lt;0.2,0)</f>
        <v>3</v>
      </c>
      <c r="AA13" s="55">
        <f>SUM(T13:Z13)</f>
        <v>49.125</v>
      </c>
      <c r="AB13" s="5" t="s">
        <v>1792</v>
      </c>
      <c r="AC13" s="5" t="s">
        <v>1793</v>
      </c>
      <c r="AD13" s="3"/>
      <c r="AE13" s="3"/>
      <c r="AF13" s="3"/>
      <c r="AG13" s="5" t="s">
        <v>1794</v>
      </c>
      <c r="AH13" s="259"/>
      <c r="AI13" s="205">
        <f t="shared" si="14"/>
        <v>0.48918148654810761</v>
      </c>
      <c r="AJ13" s="206">
        <f t="shared" si="15"/>
        <v>0</v>
      </c>
      <c r="AK13" s="80" t="str">
        <f t="shared" si="16"/>
        <v>LOW</v>
      </c>
      <c r="AL13" s="80" t="str">
        <f t="shared" si="17"/>
        <v>HIGH</v>
      </c>
      <c r="AM13" s="364" t="s">
        <v>1795</v>
      </c>
      <c r="AN13" s="364" t="s">
        <v>1796</v>
      </c>
      <c r="AO13" s="126" t="str">
        <f>IF(AND(AA13&gt;Summary!$C$5, AA13&lt;=Summary!$D$5),Summary!$B$5,IF(AND(AA13&gt;Summary!$C$6, AA13&lt;=Summary!$D$6),Summary!$B$6,IF(AND(AA13&gt;Summary!$C$7, AA13&lt;=Summary!$D$7),Summary!$B$7,Summary!$B$8)))</f>
        <v>△</v>
      </c>
      <c r="AP13" s="14" t="s">
        <v>174</v>
      </c>
      <c r="AQ13" s="14" t="s">
        <v>168</v>
      </c>
      <c r="AR13" s="14" t="s">
        <v>1402</v>
      </c>
      <c r="AS13" s="29" t="s">
        <v>1797</v>
      </c>
      <c r="AT13" s="465"/>
      <c r="AU13" s="4" t="s">
        <v>168</v>
      </c>
      <c r="AV13" s="6">
        <v>10.4</v>
      </c>
      <c r="AW13" s="6">
        <v>32</v>
      </c>
      <c r="AX13" s="33">
        <f t="shared" si="18"/>
        <v>0.32500000000000001</v>
      </c>
      <c r="AY13" s="42">
        <v>0.39100000000000001</v>
      </c>
      <c r="AZ13" s="3">
        <v>0</v>
      </c>
      <c r="BA13" s="37">
        <f t="shared" si="19"/>
        <v>0</v>
      </c>
      <c r="BB13" s="3">
        <v>0</v>
      </c>
      <c r="BC13" s="3">
        <v>0</v>
      </c>
      <c r="BD13" s="36"/>
      <c r="BE13" s="4" t="s">
        <v>168</v>
      </c>
      <c r="BF13" s="6">
        <v>22.4</v>
      </c>
      <c r="BG13" s="6">
        <v>34</v>
      </c>
      <c r="BH13" s="33">
        <f t="shared" si="20"/>
        <v>0.6588235294117647</v>
      </c>
      <c r="BI13" s="42">
        <v>1.63</v>
      </c>
      <c r="BJ13" s="3">
        <v>0</v>
      </c>
      <c r="BK13" s="37">
        <f t="shared" si="21"/>
        <v>0</v>
      </c>
      <c r="BL13" s="3">
        <v>0</v>
      </c>
      <c r="BM13" s="3">
        <v>0</v>
      </c>
      <c r="BN13" s="36"/>
      <c r="BO13" s="4" t="s">
        <v>168</v>
      </c>
      <c r="BP13" s="6">
        <v>10.4</v>
      </c>
      <c r="BQ13" s="6">
        <v>21.5</v>
      </c>
      <c r="BR13" s="33">
        <f t="shared" si="22"/>
        <v>0.48372093023255813</v>
      </c>
      <c r="BS13" s="42">
        <v>0.252</v>
      </c>
      <c r="BT13" s="3"/>
      <c r="BU13" s="37" t="str">
        <f t="shared" si="23"/>
        <v/>
      </c>
      <c r="BV13" s="3"/>
      <c r="BW13" s="3"/>
      <c r="BX13" s="36"/>
      <c r="BY13" s="4" t="s">
        <v>178</v>
      </c>
      <c r="BZ13" s="6">
        <v>10.4</v>
      </c>
      <c r="CA13" s="6"/>
      <c r="CB13" s="33" t="str">
        <f t="shared" si="24"/>
        <v/>
      </c>
      <c r="CC13" s="42"/>
      <c r="CD13" s="3"/>
      <c r="CE13" s="37" t="str">
        <f t="shared" si="25"/>
        <v/>
      </c>
      <c r="CF13" s="3"/>
      <c r="CG13" s="3"/>
      <c r="CH13" s="36"/>
      <c r="CI13" s="4"/>
      <c r="CJ13" s="6"/>
      <c r="CK13" s="6"/>
      <c r="CL13" s="33" t="str">
        <f t="shared" si="26"/>
        <v/>
      </c>
      <c r="CM13" s="42"/>
      <c r="CN13" s="3"/>
      <c r="CO13" s="37" t="str">
        <f t="shared" si="27"/>
        <v/>
      </c>
      <c r="CP13" s="3"/>
      <c r="CQ13" s="3"/>
      <c r="CR13" s="36"/>
      <c r="CS13" s="4"/>
      <c r="CT13" s="6"/>
      <c r="CU13" s="6"/>
      <c r="CV13" s="33" t="str">
        <f t="shared" si="28"/>
        <v/>
      </c>
      <c r="CW13" s="42"/>
      <c r="CX13" s="3"/>
      <c r="CY13" s="37" t="str">
        <f t="shared" si="29"/>
        <v/>
      </c>
      <c r="CZ13" s="3"/>
      <c r="DA13" s="3"/>
      <c r="DB13" s="36"/>
      <c r="DC13" s="4"/>
      <c r="DD13" s="6"/>
      <c r="DE13" s="6"/>
      <c r="DF13" s="33" t="str">
        <f t="shared" si="30"/>
        <v/>
      </c>
      <c r="DG13" s="42"/>
      <c r="DH13" s="3"/>
      <c r="DI13" s="37" t="str">
        <f t="shared" si="31"/>
        <v/>
      </c>
      <c r="DJ13" s="3"/>
      <c r="DK13" s="3"/>
      <c r="DL13" s="36"/>
      <c r="DM13" s="4"/>
      <c r="DN13" s="6"/>
      <c r="DO13" s="6"/>
      <c r="DP13" s="33" t="str">
        <f t="shared" si="32"/>
        <v/>
      </c>
      <c r="DQ13" s="42"/>
      <c r="DR13" s="3"/>
      <c r="DS13" s="37" t="str">
        <f t="shared" si="33"/>
        <v/>
      </c>
      <c r="DT13" s="3"/>
      <c r="DU13" s="3"/>
      <c r="DV13" s="36"/>
      <c r="DW13" s="4"/>
      <c r="DX13" s="6"/>
      <c r="DY13" s="6"/>
      <c r="DZ13" s="33" t="str">
        <f t="shared" si="34"/>
        <v/>
      </c>
      <c r="EA13" s="42"/>
      <c r="EB13" s="3"/>
      <c r="EC13" s="37" t="str">
        <f t="shared" si="35"/>
        <v/>
      </c>
      <c r="ED13" s="3"/>
      <c r="EE13" s="3"/>
      <c r="EF13" s="36"/>
      <c r="EG13" s="4"/>
      <c r="EH13" s="6"/>
      <c r="EI13" s="6"/>
      <c r="EJ13" s="33" t="str">
        <f t="shared" si="36"/>
        <v/>
      </c>
      <c r="EK13" s="42"/>
      <c r="EL13" s="3"/>
      <c r="EM13" s="37" t="str">
        <f t="shared" si="37"/>
        <v/>
      </c>
      <c r="EN13" s="3"/>
      <c r="EO13" s="3"/>
      <c r="EP13" s="36"/>
      <c r="EQ13" s="4"/>
      <c r="ER13" s="6"/>
      <c r="ES13" s="6"/>
      <c r="ET13" s="33" t="str">
        <f t="shared" si="38"/>
        <v/>
      </c>
      <c r="EU13" s="42"/>
      <c r="EV13" s="3"/>
      <c r="EW13" s="37" t="str">
        <f t="shared" si="39"/>
        <v/>
      </c>
      <c r="EX13" s="3"/>
      <c r="EY13" s="3"/>
      <c r="EZ13" s="36"/>
      <c r="FA13" s="4"/>
      <c r="FB13" s="6"/>
      <c r="FC13" s="6"/>
      <c r="FD13" s="33" t="str">
        <f t="shared" si="40"/>
        <v/>
      </c>
      <c r="FE13" s="42"/>
      <c r="FF13" s="3"/>
      <c r="FG13" s="37" t="str">
        <f t="shared" si="41"/>
        <v/>
      </c>
      <c r="FH13" s="3"/>
      <c r="FI13" s="3"/>
    </row>
    <row r="14" spans="2:165" ht="285.95" hidden="1">
      <c r="B14" s="3" t="s">
        <v>1727</v>
      </c>
      <c r="C14" s="3" t="s">
        <v>1775</v>
      </c>
      <c r="D14" s="3" t="s">
        <v>300</v>
      </c>
      <c r="E14" s="28" t="s">
        <v>313</v>
      </c>
      <c r="F14" s="4">
        <v>5</v>
      </c>
      <c r="G14" s="123" t="str">
        <f t="shared" si="0"/>
        <v>×
[P・Q]
×・--</v>
      </c>
      <c r="H14" s="123" t="str">
        <f t="shared" si="1"/>
        <v>×
[P・Q]
○・--</v>
      </c>
      <c r="I14" s="123" t="str">
        <f t="shared" si="2"/>
        <v>×
[P・Q]
○・--</v>
      </c>
      <c r="J14" s="123" t="str">
        <f t="shared" si="3"/>
        <v>×
[P・Q]
--・--</v>
      </c>
      <c r="K14" s="123" t="str">
        <f t="shared" si="4"/>
        <v>×
[P・Q]
--・--</v>
      </c>
      <c r="L14" s="123" t="str">
        <f t="shared" si="5"/>
        <v/>
      </c>
      <c r="M14" s="123" t="str">
        <f t="shared" si="6"/>
        <v/>
      </c>
      <c r="N14" s="123" t="str">
        <f t="shared" si="7"/>
        <v/>
      </c>
      <c r="O14" s="123"/>
      <c r="P14" s="123" t="str">
        <f t="shared" si="8"/>
        <v/>
      </c>
      <c r="Q14" s="123" t="str">
        <f t="shared" si="9"/>
        <v/>
      </c>
      <c r="R14" s="123" t="str">
        <f t="shared" si="10"/>
        <v/>
      </c>
      <c r="S14" s="76">
        <f t="shared" si="11"/>
        <v>0.6</v>
      </c>
      <c r="T14" s="4">
        <v>5</v>
      </c>
      <c r="U14" s="4">
        <v>4</v>
      </c>
      <c r="V14" s="4">
        <v>4</v>
      </c>
      <c r="W14" s="4">
        <v>5</v>
      </c>
      <c r="X14" s="77">
        <f t="shared" si="12"/>
        <v>15</v>
      </c>
      <c r="Y14" s="77">
        <f t="shared" si="13"/>
        <v>0</v>
      </c>
      <c r="Z14" s="77" cm="1">
        <f t="array" ref="Z14">_xlfn.IFS(S14&gt;=0.8,5,S14&gt;=0.6,3,S14&gt;=0.2,1,S14&lt;0.2,0)</f>
        <v>3</v>
      </c>
      <c r="AA14" s="55">
        <f t="shared" ref="AA14:AA15" si="43">SUM(T14:Z14)</f>
        <v>36</v>
      </c>
      <c r="AB14" s="5" t="s">
        <v>1798</v>
      </c>
      <c r="AC14" s="5" t="s">
        <v>1799</v>
      </c>
      <c r="AD14" s="80"/>
      <c r="AE14" s="5"/>
      <c r="AF14" s="5"/>
      <c r="AG14" s="5" t="s">
        <v>1800</v>
      </c>
      <c r="AH14" s="464"/>
      <c r="AI14" s="205">
        <f t="shared" si="14"/>
        <v>0.70000000000000007</v>
      </c>
      <c r="AJ14" s="206" t="str">
        <f t="shared" si="15"/>
        <v xml:space="preserve"> </v>
      </c>
      <c r="AK14" s="80" t="str">
        <f t="shared" si="16"/>
        <v>HIGH</v>
      </c>
      <c r="AL14" s="80" t="str">
        <f t="shared" si="17"/>
        <v>LOW</v>
      </c>
      <c r="AM14" s="280" t="s">
        <v>1801</v>
      </c>
      <c r="AN14" s="5" t="s">
        <v>1802</v>
      </c>
      <c r="AO14" s="126" t="str">
        <f>IF(AND(AA14&gt;Summary!$C$5, AA14&lt;=Summary!$D$5),Summary!$B$5,IF(AND(AA14&gt;Summary!$C$6, AA14&lt;=Summary!$D$6),Summary!$B$6,IF(AND(AA14&gt;Summary!$C$7, AA14&lt;=Summary!$D$7),Summary!$B$7,Summary!$B$8)))</f>
        <v>△</v>
      </c>
      <c r="AP14" s="14" t="s">
        <v>174</v>
      </c>
      <c r="AQ14" s="14" t="s">
        <v>168</v>
      </c>
      <c r="AR14" s="14" t="s">
        <v>1402</v>
      </c>
      <c r="AS14" s="29" t="s">
        <v>1803</v>
      </c>
      <c r="AT14" s="465"/>
      <c r="AU14" s="4" t="s">
        <v>168</v>
      </c>
      <c r="AV14" s="6">
        <v>10.4</v>
      </c>
      <c r="AW14" s="6">
        <v>19.5</v>
      </c>
      <c r="AX14" s="33">
        <f t="shared" si="18"/>
        <v>0.53333333333333333</v>
      </c>
      <c r="AY14" s="42">
        <v>0.27700000000000002</v>
      </c>
      <c r="AZ14" s="3"/>
      <c r="BA14" s="37" t="str">
        <f t="shared" si="19"/>
        <v/>
      </c>
      <c r="BB14" s="3"/>
      <c r="BC14" s="3"/>
      <c r="BD14" s="36"/>
      <c r="BE14" s="4" t="s">
        <v>168</v>
      </c>
      <c r="BF14" s="6">
        <v>22.4</v>
      </c>
      <c r="BG14" s="6">
        <v>32</v>
      </c>
      <c r="BH14" s="33">
        <f t="shared" si="20"/>
        <v>0.7</v>
      </c>
      <c r="BI14" s="42"/>
      <c r="BJ14" s="3"/>
      <c r="BK14" s="37" t="str">
        <f t="shared" si="21"/>
        <v/>
      </c>
      <c r="BL14" s="3"/>
      <c r="BM14" s="3"/>
      <c r="BN14" s="36"/>
      <c r="BO14" s="4" t="s">
        <v>168</v>
      </c>
      <c r="BP14" s="6">
        <v>10.4</v>
      </c>
      <c r="BQ14" s="6">
        <v>12</v>
      </c>
      <c r="BR14" s="33">
        <f t="shared" si="22"/>
        <v>0.8666666666666667</v>
      </c>
      <c r="BS14" s="42">
        <v>0.318</v>
      </c>
      <c r="BT14" s="3"/>
      <c r="BU14" s="37" t="str">
        <f t="shared" si="23"/>
        <v/>
      </c>
      <c r="BV14" s="3"/>
      <c r="BW14" s="3"/>
      <c r="BX14" s="36"/>
      <c r="BY14" s="4" t="s">
        <v>178</v>
      </c>
      <c r="BZ14" s="6">
        <v>10.4</v>
      </c>
      <c r="CA14" s="6"/>
      <c r="CB14" s="33" t="str">
        <f t="shared" si="24"/>
        <v/>
      </c>
      <c r="CC14" s="42"/>
      <c r="CD14" s="3"/>
      <c r="CE14" s="37" t="str">
        <f t="shared" si="25"/>
        <v/>
      </c>
      <c r="CF14" s="3"/>
      <c r="CG14" s="3"/>
      <c r="CH14" s="36"/>
      <c r="CI14" s="4" t="s">
        <v>178</v>
      </c>
      <c r="CJ14" s="6">
        <v>22.4</v>
      </c>
      <c r="CK14" s="6"/>
      <c r="CL14" s="33" t="str">
        <f t="shared" si="26"/>
        <v/>
      </c>
      <c r="CM14" s="42"/>
      <c r="CN14" s="3"/>
      <c r="CO14" s="37" t="str">
        <f t="shared" si="27"/>
        <v/>
      </c>
      <c r="CP14" s="3"/>
      <c r="CQ14" s="3"/>
      <c r="CR14" s="36"/>
      <c r="CS14" s="4"/>
      <c r="CT14" s="6"/>
      <c r="CU14" s="6"/>
      <c r="CV14" s="33" t="str">
        <f t="shared" si="28"/>
        <v/>
      </c>
      <c r="CW14" s="42"/>
      <c r="CX14" s="3"/>
      <c r="CY14" s="37" t="str">
        <f t="shared" si="29"/>
        <v/>
      </c>
      <c r="CZ14" s="3"/>
      <c r="DA14" s="3"/>
      <c r="DB14" s="4"/>
      <c r="DC14" s="4"/>
      <c r="DD14" s="6"/>
      <c r="DE14" s="6"/>
      <c r="DF14" s="33" t="str">
        <f t="shared" si="30"/>
        <v/>
      </c>
      <c r="DG14" s="42"/>
      <c r="DH14" s="3"/>
      <c r="DI14" s="37" t="str">
        <f t="shared" si="31"/>
        <v/>
      </c>
      <c r="DJ14" s="3"/>
      <c r="DK14" s="3"/>
      <c r="DL14" s="4"/>
      <c r="DM14" s="4"/>
      <c r="DN14" s="6"/>
      <c r="DO14" s="6"/>
      <c r="DP14" s="33" t="str">
        <f t="shared" si="32"/>
        <v/>
      </c>
      <c r="DQ14" s="42"/>
      <c r="DR14" s="3"/>
      <c r="DS14" s="37" t="str">
        <f t="shared" si="33"/>
        <v/>
      </c>
      <c r="DT14" s="3"/>
      <c r="DU14" s="3"/>
      <c r="DV14" s="4"/>
      <c r="DW14" s="4"/>
      <c r="DX14" s="6"/>
      <c r="DY14" s="6"/>
      <c r="DZ14" s="33" t="str">
        <f t="shared" si="34"/>
        <v/>
      </c>
      <c r="EA14" s="42"/>
      <c r="EB14" s="3"/>
      <c r="EC14" s="37" t="str">
        <f t="shared" si="35"/>
        <v/>
      </c>
      <c r="ED14" s="3"/>
      <c r="EE14" s="3"/>
      <c r="EF14" s="4"/>
      <c r="EG14" s="4"/>
      <c r="EH14" s="6"/>
      <c r="EI14" s="6"/>
      <c r="EJ14" s="33" t="str">
        <f t="shared" si="36"/>
        <v/>
      </c>
      <c r="EK14" s="42"/>
      <c r="EL14" s="3"/>
      <c r="EM14" s="37" t="str">
        <f t="shared" si="37"/>
        <v/>
      </c>
      <c r="EN14" s="3"/>
      <c r="EO14" s="3"/>
      <c r="EP14" s="4"/>
      <c r="EQ14" s="4"/>
      <c r="ER14" s="6"/>
      <c r="ES14" s="6"/>
      <c r="ET14" s="33" t="str">
        <f t="shared" si="38"/>
        <v/>
      </c>
      <c r="EU14" s="42"/>
      <c r="EV14" s="3"/>
      <c r="EW14" s="37" t="str">
        <f t="shared" si="39"/>
        <v/>
      </c>
      <c r="EX14" s="3"/>
      <c r="EY14" s="3"/>
      <c r="EZ14" s="4"/>
      <c r="FA14" s="4"/>
      <c r="FB14" s="6"/>
      <c r="FC14" s="6"/>
      <c r="FD14" s="33" t="str">
        <f t="shared" si="40"/>
        <v/>
      </c>
      <c r="FE14" s="42"/>
      <c r="FF14" s="3"/>
      <c r="FG14" s="37" t="str">
        <f t="shared" si="41"/>
        <v/>
      </c>
      <c r="FH14" s="3"/>
      <c r="FI14" s="3"/>
    </row>
    <row r="15" spans="2:165" ht="285.95" hidden="1">
      <c r="B15" s="92" t="s">
        <v>1804</v>
      </c>
      <c r="C15" s="92" t="s">
        <v>1775</v>
      </c>
      <c r="D15" s="92" t="s">
        <v>287</v>
      </c>
      <c r="E15" s="387" t="s">
        <v>313</v>
      </c>
      <c r="F15" s="328">
        <v>5</v>
      </c>
      <c r="G15" s="388" t="str">
        <f t="shared" si="0"/>
        <v>×
[P・Q]
×・×</v>
      </c>
      <c r="H15" s="388" t="str">
        <f t="shared" si="1"/>
        <v>×
[P・Q]
○・×</v>
      </c>
      <c r="I15" s="388" t="str">
        <f t="shared" si="2"/>
        <v>○
[P・Q]
○・○</v>
      </c>
      <c r="J15" s="388" t="str">
        <f t="shared" si="3"/>
        <v>×
[P・Q]
○・--</v>
      </c>
      <c r="K15" s="388" t="str">
        <f t="shared" si="4"/>
        <v>×
[P・Q]
○・--</v>
      </c>
      <c r="L15" s="388" t="str">
        <f t="shared" si="5"/>
        <v/>
      </c>
      <c r="M15" s="388" t="str">
        <f t="shared" si="6"/>
        <v/>
      </c>
      <c r="N15" s="388" t="str">
        <f t="shared" si="7"/>
        <v/>
      </c>
      <c r="O15" s="388" t="str">
        <f t="shared" ref="O15:O39" si="44">IF($F15&lt;O$9,"",IF(AND(DZ15&gt;0.6,EC15&lt;=8,ED15=EE15),"○","×")&amp;CHAR(10)&amp;"[P・Q]"&amp;CHAR(10)&amp;IF(DZ15="","--",IF(DZ15&gt;0.6,"○","×"))&amp;IF(EC15="","・--",IF(EC15&lt;=8,"・○","・×")))</f>
        <v/>
      </c>
      <c r="P15" s="388" t="str">
        <f t="shared" si="8"/>
        <v/>
      </c>
      <c r="Q15" s="388" t="str">
        <f t="shared" si="9"/>
        <v/>
      </c>
      <c r="R15" s="388" t="str">
        <f t="shared" si="10"/>
        <v/>
      </c>
      <c r="S15" s="389">
        <f t="shared" si="11"/>
        <v>1</v>
      </c>
      <c r="T15" s="328">
        <v>4</v>
      </c>
      <c r="U15" s="328">
        <v>5</v>
      </c>
      <c r="V15" s="328">
        <v>5</v>
      </c>
      <c r="W15" s="328">
        <v>5</v>
      </c>
      <c r="X15" s="390">
        <f t="shared" si="12"/>
        <v>30</v>
      </c>
      <c r="Y15" s="390">
        <f t="shared" si="13"/>
        <v>7.5</v>
      </c>
      <c r="Z15" s="390" cm="1">
        <f t="array" ref="Z15">_xlfn.IFS(S15&gt;=0.8,5,S15&gt;=0.6,3,S15&gt;=0.2,1,S15&lt;0.2,0)</f>
        <v>5</v>
      </c>
      <c r="AA15" s="487">
        <f t="shared" si="43"/>
        <v>61.5</v>
      </c>
      <c r="AB15" s="130" t="s">
        <v>1805</v>
      </c>
      <c r="AC15" s="130" t="s">
        <v>1806</v>
      </c>
      <c r="AD15" s="100"/>
      <c r="AE15" s="130"/>
      <c r="AF15" s="130"/>
      <c r="AG15" s="130" t="s">
        <v>1807</v>
      </c>
      <c r="AH15" s="259"/>
      <c r="AI15" s="456">
        <f t="shared" si="14"/>
        <v>0.64635217820368229</v>
      </c>
      <c r="AJ15" s="457">
        <f t="shared" si="15"/>
        <v>9.6261757145775046</v>
      </c>
      <c r="AK15" s="100" t="str">
        <f t="shared" si="16"/>
        <v>HIGH</v>
      </c>
      <c r="AL15" s="100" t="str">
        <f t="shared" si="17"/>
        <v>LOW</v>
      </c>
      <c r="AM15" s="239" t="s">
        <v>1808</v>
      </c>
      <c r="AN15" s="339" t="s">
        <v>1809</v>
      </c>
      <c r="AO15" s="458" t="str">
        <f>IF(AND(AA15&gt;Summary!$C$5, AA15&lt;=Summary!$D$5),Summary!$B$5,IF(AND(AA15&gt;Summary!$C$6, AA15&lt;=Summary!$D$6),Summary!$B$6,IF(AND(AA15&gt;Summary!$C$7, AA15&lt;=Summary!$D$7),Summary!$B$7,Summary!$B$8)))</f>
        <v>○</v>
      </c>
      <c r="AP15" s="458" t="s">
        <v>168</v>
      </c>
      <c r="AQ15" s="458" t="s">
        <v>168</v>
      </c>
      <c r="AR15" s="458" t="s">
        <v>1401</v>
      </c>
      <c r="AS15" s="354" t="s">
        <v>1810</v>
      </c>
      <c r="AT15" s="465"/>
      <c r="AU15" s="4" t="s">
        <v>168</v>
      </c>
      <c r="AV15" s="6">
        <v>10.4</v>
      </c>
      <c r="AW15" s="6">
        <v>17.5</v>
      </c>
      <c r="AX15" s="33">
        <f t="shared" si="18"/>
        <v>0.59428571428571431</v>
      </c>
      <c r="AY15" s="42">
        <v>0.46600000000000003</v>
      </c>
      <c r="AZ15" s="3">
        <v>5</v>
      </c>
      <c r="BA15" s="37">
        <f t="shared" si="19"/>
        <v>10.729613733905579</v>
      </c>
      <c r="BB15" s="3">
        <v>5</v>
      </c>
      <c r="BC15" s="3">
        <v>5</v>
      </c>
      <c r="BD15" s="36"/>
      <c r="BE15" s="4" t="s">
        <v>168</v>
      </c>
      <c r="BF15" s="6">
        <v>22.4</v>
      </c>
      <c r="BG15" s="6">
        <v>34.5</v>
      </c>
      <c r="BH15" s="33">
        <f t="shared" si="20"/>
        <v>0.64927536231884053</v>
      </c>
      <c r="BI15" s="42">
        <v>1.0580000000000001</v>
      </c>
      <c r="BJ15" s="3">
        <v>11</v>
      </c>
      <c r="BK15" s="37">
        <f t="shared" si="21"/>
        <v>10.396975425330812</v>
      </c>
      <c r="BL15" s="3">
        <v>11</v>
      </c>
      <c r="BM15" s="3">
        <v>11</v>
      </c>
      <c r="BN15" s="36"/>
      <c r="BO15" s="4" t="s">
        <v>168</v>
      </c>
      <c r="BP15" s="6">
        <v>10.4</v>
      </c>
      <c r="BQ15" s="6">
        <v>16</v>
      </c>
      <c r="BR15" s="33">
        <f t="shared" si="22"/>
        <v>0.65</v>
      </c>
      <c r="BS15" s="42">
        <v>0.129</v>
      </c>
      <c r="BT15" s="3">
        <v>1</v>
      </c>
      <c r="BU15" s="37">
        <f t="shared" si="23"/>
        <v>7.7519379844961236</v>
      </c>
      <c r="BV15" s="3">
        <v>1</v>
      </c>
      <c r="BW15" s="3">
        <v>1</v>
      </c>
      <c r="BX15" s="36"/>
      <c r="BY15" s="4" t="s">
        <v>168</v>
      </c>
      <c r="BZ15" s="6">
        <v>22.4</v>
      </c>
      <c r="CA15" s="6">
        <v>30.5</v>
      </c>
      <c r="CB15" s="33">
        <f t="shared" si="24"/>
        <v>0.73442622950819669</v>
      </c>
      <c r="CC15" s="42">
        <v>1.575</v>
      </c>
      <c r="CD15" s="3"/>
      <c r="CE15" s="37" t="str">
        <f t="shared" si="25"/>
        <v/>
      </c>
      <c r="CF15" s="3"/>
      <c r="CG15" s="3"/>
      <c r="CH15" s="36"/>
      <c r="CI15" s="4" t="s">
        <v>168</v>
      </c>
      <c r="CJ15" s="6">
        <v>16</v>
      </c>
      <c r="CK15" s="6">
        <v>26.5</v>
      </c>
      <c r="CL15" s="33">
        <f t="shared" si="26"/>
        <v>0.60377358490566035</v>
      </c>
      <c r="CM15" s="42"/>
      <c r="CN15" s="3"/>
      <c r="CO15" s="37" t="str">
        <f t="shared" si="27"/>
        <v/>
      </c>
      <c r="CP15" s="3"/>
      <c r="CQ15" s="3"/>
      <c r="CR15" s="36"/>
      <c r="CS15" s="4"/>
      <c r="CT15" s="6"/>
      <c r="CU15" s="6"/>
      <c r="CV15" s="33" t="str">
        <f t="shared" si="28"/>
        <v/>
      </c>
      <c r="CW15" s="42"/>
      <c r="CX15" s="3"/>
      <c r="CY15" s="37" t="str">
        <f t="shared" si="29"/>
        <v/>
      </c>
      <c r="CZ15" s="3"/>
      <c r="DA15" s="3"/>
      <c r="DB15" s="4"/>
      <c r="DC15" s="4"/>
      <c r="DD15" s="6"/>
      <c r="DE15" s="6"/>
      <c r="DF15" s="33" t="str">
        <f t="shared" si="30"/>
        <v/>
      </c>
      <c r="DG15" s="42"/>
      <c r="DH15" s="3"/>
      <c r="DI15" s="37" t="str">
        <f t="shared" si="31"/>
        <v/>
      </c>
      <c r="DJ15" s="3"/>
      <c r="DK15" s="3"/>
      <c r="DL15" s="4"/>
      <c r="DM15" s="4"/>
      <c r="DN15" s="6"/>
      <c r="DO15" s="6"/>
      <c r="DP15" s="33" t="str">
        <f t="shared" si="32"/>
        <v/>
      </c>
      <c r="DQ15" s="42"/>
      <c r="DR15" s="3"/>
      <c r="DS15" s="37" t="str">
        <f t="shared" si="33"/>
        <v/>
      </c>
      <c r="DT15" s="3"/>
      <c r="DU15" s="3"/>
      <c r="DV15" s="4"/>
      <c r="DW15" s="4"/>
      <c r="DX15" s="6"/>
      <c r="DY15" s="6"/>
      <c r="DZ15" s="33" t="str">
        <f t="shared" si="34"/>
        <v/>
      </c>
      <c r="EA15" s="42"/>
      <c r="EB15" s="3"/>
      <c r="EC15" s="37" t="str">
        <f t="shared" si="35"/>
        <v/>
      </c>
      <c r="ED15" s="3"/>
      <c r="EE15" s="3"/>
      <c r="EF15" s="4"/>
      <c r="EG15" s="4"/>
      <c r="EH15" s="6"/>
      <c r="EI15" s="6"/>
      <c r="EJ15" s="33" t="str">
        <f t="shared" si="36"/>
        <v/>
      </c>
      <c r="EK15" s="42"/>
      <c r="EL15" s="3"/>
      <c r="EM15" s="37" t="str">
        <f t="shared" si="37"/>
        <v/>
      </c>
      <c r="EN15" s="3"/>
      <c r="EO15" s="3"/>
      <c r="EP15" s="4"/>
      <c r="EQ15" s="4"/>
      <c r="ER15" s="6"/>
      <c r="ES15" s="6"/>
      <c r="ET15" s="33" t="str">
        <f t="shared" si="38"/>
        <v/>
      </c>
      <c r="EU15" s="42"/>
      <c r="EV15" s="3"/>
      <c r="EW15" s="37" t="str">
        <f t="shared" si="39"/>
        <v/>
      </c>
      <c r="EX15" s="3"/>
      <c r="EY15" s="3"/>
      <c r="EZ15" s="4"/>
      <c r="FA15" s="4"/>
      <c r="FB15" s="6"/>
      <c r="FC15" s="6"/>
      <c r="FD15" s="33" t="str">
        <f t="shared" si="40"/>
        <v/>
      </c>
      <c r="FE15" s="42"/>
      <c r="FF15" s="3"/>
      <c r="FG15" s="37" t="str">
        <f t="shared" si="41"/>
        <v/>
      </c>
      <c r="FH15" s="3"/>
      <c r="FI15" s="3"/>
    </row>
    <row r="16" spans="2:165" ht="285.95" hidden="1">
      <c r="B16" s="3" t="s">
        <v>1811</v>
      </c>
      <c r="C16" s="3" t="s">
        <v>1775</v>
      </c>
      <c r="D16" s="3" t="s">
        <v>287</v>
      </c>
      <c r="E16" s="28" t="s">
        <v>313</v>
      </c>
      <c r="F16" s="4">
        <v>6</v>
      </c>
      <c r="G16" s="123" t="str">
        <f t="shared" si="0"/>
        <v>×
[P・Q]
×・○</v>
      </c>
      <c r="H16" s="123" t="str">
        <f t="shared" si="1"/>
        <v>×
[P・Q]
○・×</v>
      </c>
      <c r="I16" s="123" t="str">
        <f t="shared" si="2"/>
        <v>○
[P・Q]
○・○</v>
      </c>
      <c r="J16" s="123" t="str">
        <f t="shared" si="3"/>
        <v>○
[P・Q]
○・○</v>
      </c>
      <c r="K16" s="123" t="str">
        <f t="shared" si="4"/>
        <v>×
[P・Q]
○・--</v>
      </c>
      <c r="L16" s="123" t="str">
        <f t="shared" si="5"/>
        <v>×
[P・Q]
--・--</v>
      </c>
      <c r="M16" s="123" t="str">
        <f t="shared" si="6"/>
        <v/>
      </c>
      <c r="N16" s="123" t="str">
        <f t="shared" si="7"/>
        <v/>
      </c>
      <c r="O16" s="123" t="str">
        <f t="shared" si="44"/>
        <v/>
      </c>
      <c r="P16" s="123" t="str">
        <f t="shared" si="8"/>
        <v/>
      </c>
      <c r="Q16" s="123" t="str">
        <f t="shared" si="9"/>
        <v/>
      </c>
      <c r="R16" s="123" t="str">
        <f t="shared" si="10"/>
        <v/>
      </c>
      <c r="S16" s="76">
        <f t="shared" si="11"/>
        <v>0.83333333333333337</v>
      </c>
      <c r="T16" s="4">
        <v>5</v>
      </c>
      <c r="U16" s="4">
        <v>5</v>
      </c>
      <c r="V16" s="4">
        <v>5</v>
      </c>
      <c r="W16" s="4">
        <v>5</v>
      </c>
      <c r="X16" s="77">
        <f t="shared" si="12"/>
        <v>25</v>
      </c>
      <c r="Y16" s="77">
        <f t="shared" si="13"/>
        <v>18.75</v>
      </c>
      <c r="Z16" s="77" cm="1">
        <f t="array" ref="Z16">_xlfn.IFS(S16&gt;=0.8,5,S16&gt;=0.6,3,S16&gt;=0.2,1,S16&lt;0.2,0)</f>
        <v>5</v>
      </c>
      <c r="AA16" s="140">
        <f>SUM(T16:Z16)</f>
        <v>68.75</v>
      </c>
      <c r="AB16" s="5" t="s">
        <v>1812</v>
      </c>
      <c r="AC16" s="5" t="s">
        <v>1813</v>
      </c>
      <c r="AD16" s="5"/>
      <c r="AE16" s="5"/>
      <c r="AF16" s="5"/>
      <c r="AG16" s="5" t="s">
        <v>1814</v>
      </c>
      <c r="AH16" s="464"/>
      <c r="AI16" s="205">
        <f t="shared" si="14"/>
        <v>0.69958272964358159</v>
      </c>
      <c r="AJ16" s="206">
        <f t="shared" si="15"/>
        <v>8.9552238805970141</v>
      </c>
      <c r="AK16" s="80" t="str">
        <f t="shared" si="16"/>
        <v>HIGH</v>
      </c>
      <c r="AL16" s="80" t="str">
        <f t="shared" si="17"/>
        <v>LOW</v>
      </c>
      <c r="AM16" s="280" t="s">
        <v>1815</v>
      </c>
      <c r="AN16" s="364" t="s">
        <v>1816</v>
      </c>
      <c r="AO16" s="126" t="str">
        <f>IF(AND(AA16&gt;Summary!$C$5, AA16&lt;=Summary!$D$5),Summary!$B$5,IF(AND(AA16&gt;Summary!$C$6, AA16&lt;=Summary!$D$6),Summary!$B$6,IF(AND(AA16&gt;Summary!$C$7, AA16&lt;=Summary!$D$7),Summary!$B$7,Summary!$B$8)))</f>
        <v>○</v>
      </c>
      <c r="AP16" s="466" t="s">
        <v>168</v>
      </c>
      <c r="AQ16" s="126" t="s">
        <v>168</v>
      </c>
      <c r="AR16" s="126" t="s">
        <v>1401</v>
      </c>
      <c r="AS16" s="29" t="s">
        <v>1810</v>
      </c>
      <c r="AT16" s="465"/>
      <c r="AU16" s="4" t="s">
        <v>168</v>
      </c>
      <c r="AV16" s="6">
        <v>13.6</v>
      </c>
      <c r="AW16" s="6">
        <v>24</v>
      </c>
      <c r="AX16" s="33">
        <f t="shared" si="18"/>
        <v>0.56666666666666665</v>
      </c>
      <c r="AY16" s="42">
        <v>0.435</v>
      </c>
      <c r="AZ16" s="3">
        <v>0</v>
      </c>
      <c r="BA16" s="37">
        <f t="shared" si="19"/>
        <v>0</v>
      </c>
      <c r="BB16" s="3">
        <v>0</v>
      </c>
      <c r="BC16" s="3">
        <v>0</v>
      </c>
      <c r="BD16" s="36"/>
      <c r="BE16" s="4" t="s">
        <v>168</v>
      </c>
      <c r="BF16" s="6">
        <v>10.4</v>
      </c>
      <c r="BG16" s="6">
        <v>17</v>
      </c>
      <c r="BH16" s="33">
        <f t="shared" si="20"/>
        <v>0.61176470588235299</v>
      </c>
      <c r="BI16" s="42">
        <v>0.33500000000000002</v>
      </c>
      <c r="BJ16" s="3">
        <v>12</v>
      </c>
      <c r="BK16" s="37">
        <f t="shared" si="21"/>
        <v>35.820895522388057</v>
      </c>
      <c r="BL16" s="3">
        <v>12</v>
      </c>
      <c r="BM16" s="3">
        <v>12</v>
      </c>
      <c r="BN16" s="36"/>
      <c r="BO16" s="4" t="s">
        <v>168</v>
      </c>
      <c r="BP16" s="6">
        <v>10.4</v>
      </c>
      <c r="BQ16" s="6">
        <v>17</v>
      </c>
      <c r="BR16" s="33">
        <f t="shared" si="22"/>
        <v>0.61176470588235299</v>
      </c>
      <c r="BS16" s="42">
        <v>0.215</v>
      </c>
      <c r="BT16" s="3">
        <v>0</v>
      </c>
      <c r="BU16" s="37">
        <f t="shared" si="23"/>
        <v>0</v>
      </c>
      <c r="BV16" s="3">
        <v>0</v>
      </c>
      <c r="BW16" s="3">
        <v>0</v>
      </c>
      <c r="BX16" s="36"/>
      <c r="BY16" s="4" t="s">
        <v>168</v>
      </c>
      <c r="BZ16" s="6">
        <v>10.4</v>
      </c>
      <c r="CA16" s="6">
        <v>14.5</v>
      </c>
      <c r="CB16" s="33">
        <f t="shared" si="24"/>
        <v>0.71724137931034482</v>
      </c>
      <c r="CC16" s="42">
        <v>0.313</v>
      </c>
      <c r="CD16" s="3">
        <v>0</v>
      </c>
      <c r="CE16" s="37">
        <f t="shared" si="25"/>
        <v>0</v>
      </c>
      <c r="CF16" s="3">
        <v>0</v>
      </c>
      <c r="CG16" s="3">
        <v>0</v>
      </c>
      <c r="CH16" s="36"/>
      <c r="CI16" s="4" t="s">
        <v>168</v>
      </c>
      <c r="CJ16" s="6">
        <v>10.4</v>
      </c>
      <c r="CK16" s="6">
        <v>10.5</v>
      </c>
      <c r="CL16" s="33">
        <f t="shared" si="26"/>
        <v>0.99047619047619051</v>
      </c>
      <c r="CM16" s="42">
        <v>0.2</v>
      </c>
      <c r="CN16" s="3"/>
      <c r="CO16" s="37" t="str">
        <f t="shared" si="27"/>
        <v/>
      </c>
      <c r="CP16" s="3"/>
      <c r="CQ16" s="3"/>
      <c r="CR16" s="36"/>
      <c r="CS16" s="4" t="s">
        <v>178</v>
      </c>
      <c r="CT16" s="6">
        <v>22.4</v>
      </c>
      <c r="CU16" s="6"/>
      <c r="CV16" s="33" t="str">
        <f t="shared" si="28"/>
        <v/>
      </c>
      <c r="CW16" s="42">
        <v>0.8</v>
      </c>
      <c r="CX16" s="3"/>
      <c r="CY16" s="37" t="str">
        <f t="shared" si="29"/>
        <v/>
      </c>
      <c r="CZ16" s="3"/>
      <c r="DA16" s="3"/>
      <c r="DB16" s="80"/>
      <c r="DC16" s="4"/>
      <c r="DD16" s="6"/>
      <c r="DE16" s="6"/>
      <c r="DF16" s="33" t="str">
        <f t="shared" si="30"/>
        <v/>
      </c>
      <c r="DG16" s="42"/>
      <c r="DH16" s="3"/>
      <c r="DI16" s="37" t="str">
        <f t="shared" si="31"/>
        <v/>
      </c>
      <c r="DJ16" s="3"/>
      <c r="DK16" s="3"/>
      <c r="DL16" s="4"/>
      <c r="DM16" s="4"/>
      <c r="DN16" s="6"/>
      <c r="DO16" s="6"/>
      <c r="DP16" s="33" t="str">
        <f t="shared" si="32"/>
        <v/>
      </c>
      <c r="DQ16" s="42"/>
      <c r="DR16" s="3"/>
      <c r="DS16" s="37" t="str">
        <f t="shared" si="33"/>
        <v/>
      </c>
      <c r="DT16" s="3"/>
      <c r="DU16" s="3"/>
      <c r="DV16" s="4"/>
      <c r="DW16" s="4"/>
      <c r="DX16" s="6"/>
      <c r="DY16" s="6"/>
      <c r="DZ16" s="33" t="str">
        <f t="shared" si="34"/>
        <v/>
      </c>
      <c r="EA16" s="42"/>
      <c r="EB16" s="3"/>
      <c r="EC16" s="37" t="str">
        <f t="shared" si="35"/>
        <v/>
      </c>
      <c r="ED16" s="3"/>
      <c r="EE16" s="3"/>
      <c r="EF16" s="4"/>
      <c r="EG16" s="4"/>
      <c r="EH16" s="6"/>
      <c r="EI16" s="6"/>
      <c r="EJ16" s="33" t="str">
        <f t="shared" si="36"/>
        <v/>
      </c>
      <c r="EK16" s="42"/>
      <c r="EL16" s="3"/>
      <c r="EM16" s="37" t="str">
        <f t="shared" si="37"/>
        <v/>
      </c>
      <c r="EN16" s="3"/>
      <c r="EO16" s="3"/>
      <c r="EP16" s="4"/>
      <c r="EQ16" s="4"/>
      <c r="ER16" s="6"/>
      <c r="ES16" s="6"/>
      <c r="ET16" s="33" t="str">
        <f t="shared" si="38"/>
        <v/>
      </c>
      <c r="EU16" s="42"/>
      <c r="EV16" s="3"/>
      <c r="EW16" s="37" t="str">
        <f t="shared" si="39"/>
        <v/>
      </c>
      <c r="EX16" s="3"/>
      <c r="EY16" s="3"/>
      <c r="EZ16" s="4"/>
      <c r="FA16" s="4"/>
      <c r="FB16" s="6"/>
      <c r="FC16" s="6"/>
      <c r="FD16" s="33" t="str">
        <f t="shared" si="40"/>
        <v/>
      </c>
      <c r="FE16" s="42"/>
      <c r="FF16" s="3"/>
      <c r="FG16" s="37" t="str">
        <f t="shared" si="41"/>
        <v/>
      </c>
      <c r="FH16" s="3"/>
      <c r="FI16" s="3"/>
    </row>
    <row r="17" spans="2:165" ht="285.95" hidden="1">
      <c r="B17" s="3" t="s">
        <v>1817</v>
      </c>
      <c r="C17" s="3" t="s">
        <v>1775</v>
      </c>
      <c r="D17" s="3" t="s">
        <v>300</v>
      </c>
      <c r="E17" s="28" t="s">
        <v>313</v>
      </c>
      <c r="F17" s="4">
        <v>6</v>
      </c>
      <c r="G17" s="123" t="str">
        <f t="shared" si="0"/>
        <v>×
[P・Q]
×・×</v>
      </c>
      <c r="H17" s="123" t="str">
        <f t="shared" si="1"/>
        <v>×
[P・Q]
○・×</v>
      </c>
      <c r="I17" s="123" t="str">
        <f t="shared" si="2"/>
        <v>×
[P・Q]
○・×</v>
      </c>
      <c r="J17" s="123" t="str">
        <f t="shared" si="3"/>
        <v>×
[P・Q]
○・--</v>
      </c>
      <c r="K17" s="123" t="str">
        <f t="shared" si="4"/>
        <v>×
[P・Q]
○・--</v>
      </c>
      <c r="L17" s="123" t="str">
        <f t="shared" si="5"/>
        <v>×
[P・Q]
○・--</v>
      </c>
      <c r="M17" s="123" t="str">
        <f t="shared" si="6"/>
        <v/>
      </c>
      <c r="N17" s="123" t="str">
        <f t="shared" si="7"/>
        <v/>
      </c>
      <c r="O17" s="123" t="str">
        <f t="shared" si="44"/>
        <v/>
      </c>
      <c r="P17" s="123" t="str">
        <f t="shared" si="8"/>
        <v/>
      </c>
      <c r="Q17" s="123" t="str">
        <f t="shared" si="9"/>
        <v/>
      </c>
      <c r="R17" s="123" t="str">
        <f t="shared" si="10"/>
        <v/>
      </c>
      <c r="S17" s="76">
        <f t="shared" si="11"/>
        <v>1</v>
      </c>
      <c r="T17" s="4">
        <v>5</v>
      </c>
      <c r="U17" s="4">
        <v>5</v>
      </c>
      <c r="V17" s="4">
        <v>5</v>
      </c>
      <c r="W17" s="4">
        <v>5</v>
      </c>
      <c r="X17" s="77">
        <f t="shared" si="12"/>
        <v>31.25</v>
      </c>
      <c r="Y17" s="77">
        <f t="shared" si="13"/>
        <v>0</v>
      </c>
      <c r="Z17" s="77" cm="1">
        <f t="array" ref="Z17">_xlfn.IFS(S17&gt;=0.8,5,S17&gt;=0.6,3,S17&gt;=0.2,1,S17&lt;0.2,0)</f>
        <v>5</v>
      </c>
      <c r="AA17" s="55">
        <f t="shared" ref="AA17" si="45">SUM(T17:Z17)</f>
        <v>56.25</v>
      </c>
      <c r="AB17" s="130" t="s">
        <v>1818</v>
      </c>
      <c r="AC17" s="130" t="s">
        <v>1819</v>
      </c>
      <c r="AD17" s="130"/>
      <c r="AE17" s="130"/>
      <c r="AF17" s="130"/>
      <c r="AG17" s="130" t="s">
        <v>1820</v>
      </c>
      <c r="AH17" s="5"/>
      <c r="AI17" s="456">
        <f t="shared" si="14"/>
        <v>0.63399871733205071</v>
      </c>
      <c r="AJ17" s="457">
        <f t="shared" si="15"/>
        <v>21.341663967486856</v>
      </c>
      <c r="AK17" s="100" t="str">
        <f t="shared" si="16"/>
        <v>HIGH</v>
      </c>
      <c r="AL17" s="100" t="str">
        <f t="shared" si="17"/>
        <v>LOW</v>
      </c>
      <c r="AM17" s="239" t="s">
        <v>1819</v>
      </c>
      <c r="AN17" s="339" t="s">
        <v>1821</v>
      </c>
      <c r="AO17" s="458" t="str">
        <f>IF(AND(AA17&gt;Summary!$C$5, AA17&lt;=Summary!$D$5),Summary!$B$5,IF(AND(AA17&gt;Summary!$C$6, AA17&lt;=Summary!$D$6),Summary!$B$6,IF(AND(AA17&gt;Summary!$C$7, AA17&lt;=Summary!$D$7),Summary!$B$7,Summary!$B$8)))</f>
        <v>○</v>
      </c>
      <c r="AP17" s="151" t="s">
        <v>168</v>
      </c>
      <c r="AQ17" s="151" t="s">
        <v>168</v>
      </c>
      <c r="AR17" s="151" t="s">
        <v>1401</v>
      </c>
      <c r="AS17" s="354" t="s">
        <v>1810</v>
      </c>
      <c r="AT17" s="36"/>
      <c r="AU17" s="4" t="s">
        <v>168</v>
      </c>
      <c r="AV17" s="6">
        <v>15.2</v>
      </c>
      <c r="AW17" s="6">
        <v>27</v>
      </c>
      <c r="AX17" s="33">
        <f t="shared" si="18"/>
        <v>0.56296296296296289</v>
      </c>
      <c r="AY17" s="42">
        <v>0.187</v>
      </c>
      <c r="AZ17" s="3">
        <v>6</v>
      </c>
      <c r="BA17" s="37">
        <f t="shared" si="19"/>
        <v>32.085561497326204</v>
      </c>
      <c r="BB17" s="3">
        <v>6</v>
      </c>
      <c r="BC17" s="3">
        <v>6</v>
      </c>
      <c r="BD17" s="36"/>
      <c r="BE17" s="4" t="s">
        <v>168</v>
      </c>
      <c r="BF17" s="6">
        <v>17.600000000000001</v>
      </c>
      <c r="BG17" s="6">
        <v>28</v>
      </c>
      <c r="BH17" s="33">
        <f t="shared" si="20"/>
        <v>0.62857142857142867</v>
      </c>
      <c r="BI17" s="42">
        <v>0.27700000000000002</v>
      </c>
      <c r="BJ17" s="3">
        <v>5</v>
      </c>
      <c r="BK17" s="37">
        <f t="shared" si="21"/>
        <v>18.050541516245485</v>
      </c>
      <c r="BL17" s="3">
        <v>5</v>
      </c>
      <c r="BM17" s="3">
        <v>5</v>
      </c>
      <c r="BN17" s="36"/>
      <c r="BO17" s="4" t="s">
        <v>168</v>
      </c>
      <c r="BP17" s="6">
        <v>10.4</v>
      </c>
      <c r="BQ17" s="6">
        <v>16.5</v>
      </c>
      <c r="BR17" s="33">
        <f t="shared" si="22"/>
        <v>0.63030303030303036</v>
      </c>
      <c r="BS17" s="42">
        <v>0.14399999999999999</v>
      </c>
      <c r="BT17" s="3">
        <v>2</v>
      </c>
      <c r="BU17" s="37">
        <f t="shared" si="23"/>
        <v>13.888888888888889</v>
      </c>
      <c r="BV17" s="3">
        <v>2</v>
      </c>
      <c r="BW17" s="3">
        <v>2</v>
      </c>
      <c r="BX17" s="36"/>
      <c r="BY17" s="4" t="s">
        <v>168</v>
      </c>
      <c r="BZ17" s="6">
        <v>10.4</v>
      </c>
      <c r="CA17" s="6">
        <v>16.5</v>
      </c>
      <c r="CB17" s="33">
        <f t="shared" si="24"/>
        <v>0.63030303030303036</v>
      </c>
      <c r="CC17" s="42">
        <v>0.11799999999999999</v>
      </c>
      <c r="CD17" s="3"/>
      <c r="CE17" s="37" t="str">
        <f t="shared" si="25"/>
        <v/>
      </c>
      <c r="CF17" s="3"/>
      <c r="CG17" s="3"/>
      <c r="CH17" s="36"/>
      <c r="CI17" s="4" t="s">
        <v>168</v>
      </c>
      <c r="CJ17" s="6">
        <v>22.4</v>
      </c>
      <c r="CK17" s="6">
        <v>32</v>
      </c>
      <c r="CL17" s="33">
        <f t="shared" si="26"/>
        <v>0.7</v>
      </c>
      <c r="CM17" s="42">
        <v>3.1720000000000002</v>
      </c>
      <c r="CN17" s="3"/>
      <c r="CO17" s="37" t="str">
        <f t="shared" si="27"/>
        <v/>
      </c>
      <c r="CP17" s="3"/>
      <c r="CQ17" s="3"/>
      <c r="CR17" s="36"/>
      <c r="CS17" s="4" t="s">
        <v>168</v>
      </c>
      <c r="CT17" s="6">
        <v>17.600000000000001</v>
      </c>
      <c r="CU17" s="6">
        <v>27</v>
      </c>
      <c r="CV17" s="33">
        <f t="shared" si="28"/>
        <v>0.6518518518518519</v>
      </c>
      <c r="CW17" s="42">
        <v>1.2430000000000001</v>
      </c>
      <c r="CX17" s="3"/>
      <c r="CY17" s="37" t="str">
        <f t="shared" si="29"/>
        <v/>
      </c>
      <c r="CZ17" s="3"/>
      <c r="DA17" s="3"/>
      <c r="DB17" s="36"/>
      <c r="DC17" s="4"/>
      <c r="DD17" s="6"/>
      <c r="DE17" s="6"/>
      <c r="DF17" s="33" t="str">
        <f t="shared" si="30"/>
        <v/>
      </c>
      <c r="DG17" s="42"/>
      <c r="DH17" s="3"/>
      <c r="DI17" s="37" t="str">
        <f t="shared" si="31"/>
        <v/>
      </c>
      <c r="DJ17" s="3"/>
      <c r="DK17" s="3"/>
      <c r="DL17" s="4"/>
      <c r="DM17" s="4"/>
      <c r="DN17" s="6"/>
      <c r="DO17" s="6"/>
      <c r="DP17" s="33" t="str">
        <f t="shared" si="32"/>
        <v/>
      </c>
      <c r="DQ17" s="42"/>
      <c r="DR17" s="3"/>
      <c r="DS17" s="37" t="str">
        <f t="shared" si="33"/>
        <v/>
      </c>
      <c r="DT17" s="3"/>
      <c r="DU17" s="3"/>
      <c r="DV17" s="4"/>
      <c r="DW17" s="4"/>
      <c r="DX17" s="6"/>
      <c r="DY17" s="6"/>
      <c r="DZ17" s="33" t="str">
        <f t="shared" si="34"/>
        <v/>
      </c>
      <c r="EA17" s="42"/>
      <c r="EB17" s="3"/>
      <c r="EC17" s="37" t="str">
        <f t="shared" si="35"/>
        <v/>
      </c>
      <c r="ED17" s="3"/>
      <c r="EE17" s="3"/>
      <c r="EF17" s="4"/>
      <c r="EG17" s="4"/>
      <c r="EH17" s="6"/>
      <c r="EI17" s="6"/>
      <c r="EJ17" s="33" t="str">
        <f t="shared" si="36"/>
        <v/>
      </c>
      <c r="EK17" s="42"/>
      <c r="EL17" s="3"/>
      <c r="EM17" s="37" t="str">
        <f t="shared" si="37"/>
        <v/>
      </c>
      <c r="EN17" s="3"/>
      <c r="EO17" s="3"/>
      <c r="EP17" s="4"/>
      <c r="EQ17" s="4"/>
      <c r="ER17" s="6"/>
      <c r="ES17" s="6"/>
      <c r="ET17" s="33" t="str">
        <f t="shared" si="38"/>
        <v/>
      </c>
      <c r="EU17" s="42"/>
      <c r="EV17" s="3"/>
      <c r="EW17" s="37" t="str">
        <f t="shared" si="39"/>
        <v/>
      </c>
      <c r="EX17" s="3"/>
      <c r="EY17" s="3"/>
      <c r="EZ17" s="4"/>
      <c r="FA17" s="4"/>
      <c r="FB17" s="6"/>
      <c r="FC17" s="6"/>
      <c r="FD17" s="33" t="str">
        <f t="shared" si="40"/>
        <v/>
      </c>
      <c r="FE17" s="42"/>
      <c r="FF17" s="3"/>
      <c r="FG17" s="37" t="str">
        <f t="shared" si="41"/>
        <v/>
      </c>
      <c r="FH17" s="3"/>
      <c r="FI17" s="3"/>
    </row>
    <row r="18" spans="2:165" ht="285.95" hidden="1">
      <c r="B18" s="3" t="s">
        <v>1822</v>
      </c>
      <c r="C18" s="3" t="s">
        <v>1775</v>
      </c>
      <c r="D18" s="3" t="s">
        <v>287</v>
      </c>
      <c r="E18" s="28" t="s">
        <v>313</v>
      </c>
      <c r="F18" s="4">
        <v>5</v>
      </c>
      <c r="G18" s="123" t="str">
        <f t="shared" si="0"/>
        <v>×
[P・Q]
○・×</v>
      </c>
      <c r="H18" s="123" t="str">
        <f t="shared" si="1"/>
        <v>×
[P・Q]
○・×</v>
      </c>
      <c r="I18" s="123" t="str">
        <f t="shared" si="2"/>
        <v>×
[P・Q]
○・--</v>
      </c>
      <c r="J18" s="123" t="str">
        <f t="shared" si="3"/>
        <v>×
[P・Q]
○・--</v>
      </c>
      <c r="K18" s="123" t="str">
        <f t="shared" si="4"/>
        <v>×
[P・Q]
--・--</v>
      </c>
      <c r="L18" s="123" t="str">
        <f t="shared" si="5"/>
        <v/>
      </c>
      <c r="M18" s="123" t="str">
        <f t="shared" si="6"/>
        <v/>
      </c>
      <c r="N18" s="123" t="str">
        <f t="shared" si="7"/>
        <v/>
      </c>
      <c r="O18" s="123" t="str">
        <f t="shared" si="44"/>
        <v/>
      </c>
      <c r="P18" s="123" t="str">
        <f t="shared" si="8"/>
        <v/>
      </c>
      <c r="Q18" s="123" t="str">
        <f t="shared" si="9"/>
        <v/>
      </c>
      <c r="R18" s="123" t="str">
        <f t="shared" si="10"/>
        <v/>
      </c>
      <c r="S18" s="76">
        <f t="shared" si="11"/>
        <v>0.8</v>
      </c>
      <c r="T18" s="4">
        <v>4</v>
      </c>
      <c r="U18" s="4">
        <v>5</v>
      </c>
      <c r="V18" s="473">
        <v>4</v>
      </c>
      <c r="W18" s="4">
        <v>3</v>
      </c>
      <c r="X18" s="77">
        <f t="shared" si="12"/>
        <v>30</v>
      </c>
      <c r="Y18" s="77">
        <f t="shared" si="13"/>
        <v>0</v>
      </c>
      <c r="Z18" s="77" cm="1">
        <f t="array" ref="Z18">_xlfn.IFS(S18&gt;=0.8,5,S18&gt;=0.6,3,S18&gt;=0.2,1,S18&lt;0.2,0)</f>
        <v>5</v>
      </c>
      <c r="AA18" s="55">
        <f>SUM(T18:Z18)</f>
        <v>51</v>
      </c>
      <c r="AB18" t="s">
        <v>1823</v>
      </c>
      <c r="AC18" s="129" t="s">
        <v>1824</v>
      </c>
      <c r="AD18" s="129"/>
      <c r="AE18" s="129"/>
      <c r="AF18" s="129"/>
      <c r="AG18" s="129" t="s">
        <v>1825</v>
      </c>
      <c r="AH18" s="5"/>
      <c r="AI18" s="450">
        <f t="shared" si="14"/>
        <v>0.80374949546449137</v>
      </c>
      <c r="AJ18" s="451">
        <f t="shared" si="15"/>
        <v>26.213369963369964</v>
      </c>
      <c r="AK18" s="83" t="str">
        <f t="shared" si="16"/>
        <v>HIGH</v>
      </c>
      <c r="AL18" s="83" t="str">
        <f t="shared" si="17"/>
        <v>LOW</v>
      </c>
      <c r="AM18" s="452" t="s">
        <v>1826</v>
      </c>
      <c r="AN18" t="s">
        <v>1827</v>
      </c>
      <c r="AO18" s="453" t="str">
        <f>IF(AND(AA18&gt;Summary!$C$5, AA18&lt;=Summary!$D$5),Summary!$B$5,IF(AND(AA18&gt;Summary!$C$6, AA18&lt;=Summary!$D$6),Summary!$B$6,IF(AND(AA18&gt;Summary!$C$7, AA18&lt;=Summary!$D$7),Summary!$B$7,Summary!$B$8)))</f>
        <v>○</v>
      </c>
      <c r="AP18" s="150" t="s">
        <v>174</v>
      </c>
      <c r="AQ18" s="150" t="s">
        <v>168</v>
      </c>
      <c r="AR18" s="150" t="s">
        <v>1401</v>
      </c>
      <c r="AS18" s="353" t="s">
        <v>1803</v>
      </c>
      <c r="AT18" s="36"/>
      <c r="AU18" s="4" t="s">
        <v>168</v>
      </c>
      <c r="AV18" s="6">
        <v>13.6</v>
      </c>
      <c r="AW18" s="6">
        <v>18</v>
      </c>
      <c r="AX18" s="33">
        <f t="shared" si="18"/>
        <v>0.75555555555555554</v>
      </c>
      <c r="AY18" s="42">
        <v>0.112</v>
      </c>
      <c r="AZ18" s="3">
        <v>3</v>
      </c>
      <c r="BA18" s="37">
        <f t="shared" si="19"/>
        <v>26.785714285714285</v>
      </c>
      <c r="BB18" s="3">
        <v>3</v>
      </c>
      <c r="BC18" s="3">
        <v>3</v>
      </c>
      <c r="BD18" s="36"/>
      <c r="BE18" s="4" t="s">
        <v>168</v>
      </c>
      <c r="BF18" s="6">
        <v>22.4</v>
      </c>
      <c r="BG18" s="6">
        <v>35.5</v>
      </c>
      <c r="BH18" s="33">
        <f t="shared" si="20"/>
        <v>0.63098591549295768</v>
      </c>
      <c r="BI18" s="42">
        <v>0.50700000000000001</v>
      </c>
      <c r="BJ18" s="3">
        <v>13</v>
      </c>
      <c r="BK18" s="37">
        <f t="shared" si="21"/>
        <v>25.641025641025642</v>
      </c>
      <c r="BL18" s="3"/>
      <c r="BM18" s="3"/>
      <c r="BN18" s="36"/>
      <c r="BO18" s="4" t="s">
        <v>168</v>
      </c>
      <c r="BP18" s="6">
        <v>10.4</v>
      </c>
      <c r="BQ18" s="6">
        <v>15.3</v>
      </c>
      <c r="BR18" s="33">
        <f t="shared" si="22"/>
        <v>0.6797385620915033</v>
      </c>
      <c r="BS18" s="42">
        <v>0.112</v>
      </c>
      <c r="BT18" s="3"/>
      <c r="BU18" s="37" t="str">
        <f t="shared" si="23"/>
        <v/>
      </c>
      <c r="BV18" s="3"/>
      <c r="BW18" s="3"/>
      <c r="BX18" s="36"/>
      <c r="BY18" s="4" t="s">
        <v>168</v>
      </c>
      <c r="BZ18" s="6">
        <v>22.4</v>
      </c>
      <c r="CA18" s="6">
        <v>19.5</v>
      </c>
      <c r="CB18" s="33">
        <f t="shared" si="24"/>
        <v>1.1487179487179486</v>
      </c>
      <c r="CC18" s="42">
        <v>1.792</v>
      </c>
      <c r="CD18" s="3"/>
      <c r="CE18" s="37" t="str">
        <f t="shared" si="25"/>
        <v/>
      </c>
      <c r="CF18" s="3"/>
      <c r="CG18" s="3"/>
      <c r="CH18" s="36"/>
      <c r="CI18" s="4" t="s">
        <v>178</v>
      </c>
      <c r="CJ18" s="6">
        <v>16.8</v>
      </c>
      <c r="CK18" s="6"/>
      <c r="CL18" s="33" t="str">
        <f t="shared" si="26"/>
        <v/>
      </c>
      <c r="CM18" s="42">
        <v>1.792</v>
      </c>
      <c r="CN18" s="3"/>
      <c r="CO18" s="37" t="str">
        <f t="shared" si="27"/>
        <v/>
      </c>
      <c r="CP18" s="3"/>
      <c r="CQ18" s="3"/>
      <c r="CR18" s="36"/>
      <c r="CS18" s="4"/>
      <c r="CT18" s="6"/>
      <c r="CU18" s="6"/>
      <c r="CV18" s="33" t="str">
        <f t="shared" si="28"/>
        <v/>
      </c>
      <c r="CW18" s="42"/>
      <c r="CX18" s="3"/>
      <c r="CY18" s="37" t="str">
        <f t="shared" si="29"/>
        <v/>
      </c>
      <c r="CZ18" s="3"/>
      <c r="DA18" s="3"/>
      <c r="DB18" s="4"/>
      <c r="DC18" s="4"/>
      <c r="DD18" s="6"/>
      <c r="DE18" s="6"/>
      <c r="DF18" s="33" t="str">
        <f t="shared" si="30"/>
        <v/>
      </c>
      <c r="DG18" s="42"/>
      <c r="DH18" s="3"/>
      <c r="DI18" s="37" t="str">
        <f t="shared" si="31"/>
        <v/>
      </c>
      <c r="DJ18" s="3"/>
      <c r="DK18" s="3"/>
      <c r="DL18" s="4"/>
      <c r="DM18" s="4"/>
      <c r="DN18" s="6"/>
      <c r="DO18" s="6"/>
      <c r="DP18" s="33" t="str">
        <f t="shared" si="32"/>
        <v/>
      </c>
      <c r="DQ18" s="42"/>
      <c r="DR18" s="3"/>
      <c r="DS18" s="37" t="str">
        <f t="shared" si="33"/>
        <v/>
      </c>
      <c r="DT18" s="3"/>
      <c r="DU18" s="3"/>
      <c r="DV18" s="4"/>
      <c r="DW18" s="4"/>
      <c r="DX18" s="6"/>
      <c r="DY18" s="6"/>
      <c r="DZ18" s="33" t="str">
        <f t="shared" si="34"/>
        <v/>
      </c>
      <c r="EA18" s="42"/>
      <c r="EB18" s="3"/>
      <c r="EC18" s="37" t="str">
        <f t="shared" si="35"/>
        <v/>
      </c>
      <c r="ED18" s="3"/>
      <c r="EE18" s="3"/>
      <c r="EF18" s="4"/>
      <c r="EG18" s="4"/>
      <c r="EH18" s="6"/>
      <c r="EI18" s="6"/>
      <c r="EJ18" s="33" t="str">
        <f t="shared" si="36"/>
        <v/>
      </c>
      <c r="EK18" s="42"/>
      <c r="EL18" s="3"/>
      <c r="EM18" s="37" t="str">
        <f t="shared" si="37"/>
        <v/>
      </c>
      <c r="EN18" s="3"/>
      <c r="EO18" s="3"/>
      <c r="EP18" s="4"/>
      <c r="EQ18" s="4"/>
      <c r="ER18" s="6"/>
      <c r="ES18" s="6"/>
      <c r="ET18" s="33" t="str">
        <f t="shared" si="38"/>
        <v/>
      </c>
      <c r="EU18" s="42"/>
      <c r="EV18" s="3"/>
      <c r="EW18" s="37" t="str">
        <f t="shared" si="39"/>
        <v/>
      </c>
      <c r="EX18" s="3"/>
      <c r="EY18" s="3"/>
      <c r="EZ18" s="4"/>
      <c r="FA18" s="4"/>
      <c r="FB18" s="6"/>
      <c r="FC18" s="6"/>
      <c r="FD18" s="33" t="str">
        <f t="shared" si="40"/>
        <v/>
      </c>
      <c r="FE18" s="42"/>
      <c r="FF18" s="3"/>
      <c r="FG18" s="37" t="str">
        <f t="shared" si="41"/>
        <v/>
      </c>
      <c r="FH18" s="3"/>
      <c r="FI18" s="3"/>
    </row>
    <row r="19" spans="2:165" ht="341.1" hidden="1">
      <c r="B19" s="87" t="s">
        <v>1828</v>
      </c>
      <c r="C19" s="87" t="s">
        <v>1775</v>
      </c>
      <c r="D19" s="87" t="s">
        <v>300</v>
      </c>
      <c r="E19" s="375" t="s">
        <v>313</v>
      </c>
      <c r="F19" s="247">
        <v>5</v>
      </c>
      <c r="G19" s="376" t="str">
        <f t="shared" si="0"/>
        <v>×
[P・Q]
--・--</v>
      </c>
      <c r="H19" s="376" t="str">
        <f t="shared" si="1"/>
        <v>○
[P・Q]
○・○</v>
      </c>
      <c r="I19" s="376" t="str">
        <f t="shared" si="2"/>
        <v>○
[P・Q]
○・○</v>
      </c>
      <c r="J19" s="376" t="str">
        <f t="shared" si="3"/>
        <v>×
[P・Q]
×・--</v>
      </c>
      <c r="K19" s="376" t="str">
        <f t="shared" si="4"/>
        <v>×
[P・Q]
○・--</v>
      </c>
      <c r="L19" s="376" t="str">
        <f t="shared" si="5"/>
        <v/>
      </c>
      <c r="M19" s="376" t="str">
        <f t="shared" si="6"/>
        <v/>
      </c>
      <c r="N19" s="376" t="str">
        <f t="shared" si="7"/>
        <v/>
      </c>
      <c r="O19" s="376" t="str">
        <f t="shared" si="44"/>
        <v/>
      </c>
      <c r="P19" s="376" t="str">
        <f t="shared" si="8"/>
        <v/>
      </c>
      <c r="Q19" s="376" t="str">
        <f t="shared" si="9"/>
        <v/>
      </c>
      <c r="R19" s="376" t="str">
        <f t="shared" si="10"/>
        <v/>
      </c>
      <c r="S19" s="377">
        <f t="shared" si="11"/>
        <v>0.8</v>
      </c>
      <c r="T19" s="247">
        <v>5</v>
      </c>
      <c r="U19" s="247">
        <v>5</v>
      </c>
      <c r="V19" s="247">
        <v>5</v>
      </c>
      <c r="W19" s="247">
        <v>5</v>
      </c>
      <c r="X19" s="378">
        <f t="shared" si="12"/>
        <v>22.5</v>
      </c>
      <c r="Y19" s="378">
        <f t="shared" si="13"/>
        <v>15</v>
      </c>
      <c r="Z19" s="378" cm="1">
        <f t="array" ref="Z19">_xlfn.IFS(S19&gt;=0.8,5,S19&gt;=0.6,3,S19&gt;=0.2,1,S19&lt;0.2,0)</f>
        <v>5</v>
      </c>
      <c r="AA19" s="380">
        <f t="shared" ref="AA19:AA21" si="46">SUM(T19:Z19)</f>
        <v>62.5</v>
      </c>
      <c r="AB19" s="129" t="s">
        <v>1829</v>
      </c>
      <c r="AC19" s="129" t="s">
        <v>1830</v>
      </c>
      <c r="AD19" s="129"/>
      <c r="AE19" s="129"/>
      <c r="AF19" s="129"/>
      <c r="AG19" s="129" t="s">
        <v>1831</v>
      </c>
      <c r="AH19" s="464"/>
      <c r="AI19" s="450">
        <f t="shared" si="14"/>
        <v>0.74315339832581206</v>
      </c>
      <c r="AJ19" s="451">
        <f t="shared" si="15"/>
        <v>1.1389759665621735</v>
      </c>
      <c r="AK19" s="83" t="str">
        <f t="shared" si="16"/>
        <v>HIGH</v>
      </c>
      <c r="AL19" s="83" t="str">
        <f t="shared" si="17"/>
        <v>HIGH</v>
      </c>
      <c r="AM19" s="452" t="s">
        <v>1832</v>
      </c>
      <c r="AN19" s="320" t="s">
        <v>1833</v>
      </c>
      <c r="AO19" s="453" t="str">
        <f>IF(AND(AA19&gt;Summary!$C$5, AA19&lt;=Summary!$D$5),Summary!$B$5,IF(AND(AA19&gt;Summary!$C$6, AA19&lt;=Summary!$D$6),Summary!$B$6,IF(AND(AA19&gt;Summary!$C$7, AA19&lt;=Summary!$D$7),Summary!$B$7,Summary!$B$8)))</f>
        <v>○</v>
      </c>
      <c r="AP19" s="492" t="s">
        <v>168</v>
      </c>
      <c r="AQ19" s="453" t="s">
        <v>168</v>
      </c>
      <c r="AR19" s="453" t="s">
        <v>1401</v>
      </c>
      <c r="AS19" s="353" t="s">
        <v>1810</v>
      </c>
      <c r="AT19" s="465"/>
      <c r="AU19" s="4" t="s">
        <v>168</v>
      </c>
      <c r="AV19" s="6">
        <v>10.4</v>
      </c>
      <c r="AW19" s="6"/>
      <c r="AX19" s="33" t="str">
        <f t="shared" si="18"/>
        <v/>
      </c>
      <c r="AY19" s="42">
        <v>2.8</v>
      </c>
      <c r="AZ19" s="3"/>
      <c r="BA19" s="37" t="str">
        <f t="shared" si="19"/>
        <v/>
      </c>
      <c r="BB19" s="3"/>
      <c r="BC19" s="3"/>
      <c r="BD19" s="36"/>
      <c r="BE19" s="4" t="s">
        <v>168</v>
      </c>
      <c r="BF19" s="6">
        <v>10.4</v>
      </c>
      <c r="BG19" s="6">
        <v>14</v>
      </c>
      <c r="BH19" s="33">
        <f t="shared" si="20"/>
        <v>0.74285714285714288</v>
      </c>
      <c r="BI19" s="42">
        <v>8.6999999999999993</v>
      </c>
      <c r="BJ19" s="3">
        <v>4</v>
      </c>
      <c r="BK19" s="37">
        <f t="shared" si="21"/>
        <v>0.45977011494252878</v>
      </c>
      <c r="BL19" s="3">
        <v>4</v>
      </c>
      <c r="BM19" s="3">
        <v>4</v>
      </c>
      <c r="BN19" s="36"/>
      <c r="BO19" s="4" t="s">
        <v>168</v>
      </c>
      <c r="BP19" s="6">
        <v>22.4</v>
      </c>
      <c r="BQ19" s="6">
        <v>29</v>
      </c>
      <c r="BR19" s="33">
        <f t="shared" si="22"/>
        <v>0.77241379310344827</v>
      </c>
      <c r="BS19" s="42">
        <v>3.3</v>
      </c>
      <c r="BT19" s="3">
        <v>6</v>
      </c>
      <c r="BU19" s="37">
        <f t="shared" si="23"/>
        <v>1.8181818181818183</v>
      </c>
      <c r="BV19" s="3">
        <v>6</v>
      </c>
      <c r="BW19" s="3">
        <v>6</v>
      </c>
      <c r="BX19" s="36"/>
      <c r="BY19" s="4" t="s">
        <v>178</v>
      </c>
      <c r="BZ19" s="6">
        <v>10.4</v>
      </c>
      <c r="CA19" s="6">
        <v>22</v>
      </c>
      <c r="CB19" s="33">
        <f t="shared" si="24"/>
        <v>0.47272727272727272</v>
      </c>
      <c r="CC19" s="42"/>
      <c r="CD19" s="3"/>
      <c r="CE19" s="37" t="str">
        <f t="shared" si="25"/>
        <v/>
      </c>
      <c r="CF19" s="3"/>
      <c r="CG19" s="3"/>
      <c r="CH19" s="36"/>
      <c r="CI19" s="4" t="s">
        <v>168</v>
      </c>
      <c r="CJ19" s="6">
        <v>25.6</v>
      </c>
      <c r="CK19" s="6">
        <v>26</v>
      </c>
      <c r="CL19" s="33">
        <f t="shared" si="26"/>
        <v>0.98461538461538467</v>
      </c>
      <c r="CM19" s="42"/>
      <c r="CN19" s="3"/>
      <c r="CO19" s="37" t="str">
        <f t="shared" si="27"/>
        <v/>
      </c>
      <c r="CP19" s="3"/>
      <c r="CQ19" s="3"/>
      <c r="CR19" s="36"/>
      <c r="CS19" s="4"/>
      <c r="CT19" s="6"/>
      <c r="CU19" s="6"/>
      <c r="CV19" s="33" t="str">
        <f t="shared" si="28"/>
        <v/>
      </c>
      <c r="CW19" s="42"/>
      <c r="CX19" s="3"/>
      <c r="CY19" s="37" t="str">
        <f t="shared" si="29"/>
        <v/>
      </c>
      <c r="CZ19" s="3"/>
      <c r="DA19" s="3"/>
      <c r="DB19" s="36"/>
      <c r="DC19" s="4"/>
      <c r="DD19" s="6"/>
      <c r="DE19" s="6"/>
      <c r="DF19" s="33" t="str">
        <f t="shared" si="30"/>
        <v/>
      </c>
      <c r="DG19" s="42"/>
      <c r="DH19" s="3"/>
      <c r="DI19" s="37" t="str">
        <f t="shared" si="31"/>
        <v/>
      </c>
      <c r="DJ19" s="3"/>
      <c r="DK19" s="3"/>
      <c r="DL19" s="4"/>
      <c r="DM19" s="4"/>
      <c r="DN19" s="6"/>
      <c r="DO19" s="6"/>
      <c r="DP19" s="33" t="str">
        <f t="shared" si="32"/>
        <v/>
      </c>
      <c r="DQ19" s="42"/>
      <c r="DR19" s="3"/>
      <c r="DS19" s="37" t="str">
        <f t="shared" si="33"/>
        <v/>
      </c>
      <c r="DT19" s="3"/>
      <c r="DU19" s="3"/>
      <c r="DV19" s="4"/>
      <c r="DW19" s="4"/>
      <c r="DX19" s="6"/>
      <c r="DY19" s="6"/>
      <c r="DZ19" s="33" t="str">
        <f t="shared" si="34"/>
        <v/>
      </c>
      <c r="EA19" s="42"/>
      <c r="EB19" s="3"/>
      <c r="EC19" s="37" t="str">
        <f t="shared" si="35"/>
        <v/>
      </c>
      <c r="ED19" s="3"/>
      <c r="EE19" s="3"/>
      <c r="EF19" s="4"/>
      <c r="EG19" s="4"/>
      <c r="EH19" s="6"/>
      <c r="EI19" s="6"/>
      <c r="EJ19" s="33" t="str">
        <f t="shared" si="36"/>
        <v/>
      </c>
      <c r="EK19" s="42"/>
      <c r="EL19" s="3"/>
      <c r="EM19" s="37" t="str">
        <f t="shared" si="37"/>
        <v/>
      </c>
      <c r="EN19" s="3"/>
      <c r="EO19" s="3"/>
      <c r="EP19" s="4"/>
      <c r="EQ19" s="4"/>
      <c r="ER19" s="6"/>
      <c r="ES19" s="6"/>
      <c r="ET19" s="33" t="str">
        <f t="shared" si="38"/>
        <v/>
      </c>
      <c r="EU19" s="42"/>
      <c r="EV19" s="3"/>
      <c r="EW19" s="37" t="str">
        <f t="shared" si="39"/>
        <v/>
      </c>
      <c r="EX19" s="3"/>
      <c r="EY19" s="3"/>
      <c r="EZ19" s="4"/>
      <c r="FA19" s="4"/>
      <c r="FB19" s="6"/>
      <c r="FC19" s="6"/>
      <c r="FD19" s="33" t="str">
        <f t="shared" si="40"/>
        <v/>
      </c>
      <c r="FE19" s="42"/>
      <c r="FF19" s="3"/>
      <c r="FG19" s="37" t="str">
        <f t="shared" si="41"/>
        <v/>
      </c>
      <c r="FH19" s="3"/>
      <c r="FI19" s="3"/>
    </row>
    <row r="20" spans="2:165" ht="285.95" hidden="1">
      <c r="B20" s="27" t="s">
        <v>1739</v>
      </c>
      <c r="C20" s="3" t="s">
        <v>1775</v>
      </c>
      <c r="D20" s="27" t="s">
        <v>287</v>
      </c>
      <c r="E20" s="28" t="s">
        <v>313</v>
      </c>
      <c r="F20" s="4">
        <v>5</v>
      </c>
      <c r="G20" s="123" t="str">
        <f t="shared" si="0"/>
        <v>×
[P・Q]
○・×</v>
      </c>
      <c r="H20" s="123" t="str">
        <f t="shared" si="1"/>
        <v>×
[P・Q]
○・--</v>
      </c>
      <c r="I20" s="123" t="str">
        <f t="shared" si="2"/>
        <v>×
[P・Q]
○・--</v>
      </c>
      <c r="J20" s="123" t="str">
        <f t="shared" si="3"/>
        <v>×
[P・Q]
--・--</v>
      </c>
      <c r="K20" s="123" t="str">
        <f t="shared" si="4"/>
        <v>×
[P・Q]
--・--</v>
      </c>
      <c r="L20" s="123" t="str">
        <f t="shared" si="5"/>
        <v/>
      </c>
      <c r="M20" s="123" t="str">
        <f t="shared" si="6"/>
        <v/>
      </c>
      <c r="N20" s="123" t="str">
        <f t="shared" si="7"/>
        <v/>
      </c>
      <c r="O20" s="123" t="str">
        <f t="shared" si="44"/>
        <v/>
      </c>
      <c r="P20" s="123" t="str">
        <f t="shared" si="8"/>
        <v/>
      </c>
      <c r="Q20" s="123" t="str">
        <f t="shared" si="9"/>
        <v/>
      </c>
      <c r="R20" s="123" t="str">
        <f t="shared" si="10"/>
        <v/>
      </c>
      <c r="S20" s="76">
        <f t="shared" si="11"/>
        <v>1</v>
      </c>
      <c r="T20" s="4">
        <v>3</v>
      </c>
      <c r="U20" s="4">
        <v>5</v>
      </c>
      <c r="V20" s="4">
        <v>4</v>
      </c>
      <c r="W20" s="4">
        <v>5</v>
      </c>
      <c r="X20" s="77">
        <f t="shared" si="12"/>
        <v>22.5</v>
      </c>
      <c r="Y20" s="77">
        <f t="shared" si="13"/>
        <v>0</v>
      </c>
      <c r="Z20" s="77" cm="1">
        <f t="array" ref="Z20">_xlfn.IFS(S20&gt;=0.8,5,S20&gt;=0.6,3,S20&gt;=0.2,1,S20&lt;0.2,0)</f>
        <v>5</v>
      </c>
      <c r="AA20" s="55">
        <f t="shared" si="46"/>
        <v>44.5</v>
      </c>
      <c r="AB20" s="5" t="s">
        <v>1834</v>
      </c>
      <c r="AC20" s="5" t="s">
        <v>1835</v>
      </c>
      <c r="AD20" s="5"/>
      <c r="AE20" s="5"/>
      <c r="AF20" s="5"/>
      <c r="AG20" s="5" t="s">
        <v>1836</v>
      </c>
      <c r="AH20" s="464"/>
      <c r="AI20" s="205">
        <f t="shared" si="14"/>
        <v>0.76212121212121209</v>
      </c>
      <c r="AJ20" s="206">
        <f t="shared" si="15"/>
        <v>28.248587570621471</v>
      </c>
      <c r="AK20" s="80" t="str">
        <f t="shared" si="16"/>
        <v>HIGH</v>
      </c>
      <c r="AL20" s="80" t="str">
        <f t="shared" si="17"/>
        <v>LOW</v>
      </c>
      <c r="AM20" s="280" t="s">
        <v>1837</v>
      </c>
      <c r="AN20" s="364" t="s">
        <v>1838</v>
      </c>
      <c r="AO20" s="126" t="str">
        <f>IF(AND(AA20&gt;Summary!$C$5, AA20&lt;=Summary!$D$5),Summary!$B$5,IF(AND(AA20&gt;Summary!$C$6, AA20&lt;=Summary!$D$6),Summary!$B$6,IF(AND(AA20&gt;Summary!$C$7, AA20&lt;=Summary!$D$7),Summary!$B$7,Summary!$B$8)))</f>
        <v>△</v>
      </c>
      <c r="AP20" s="14" t="s">
        <v>174</v>
      </c>
      <c r="AQ20" s="14" t="s">
        <v>168</v>
      </c>
      <c r="AR20" s="14" t="s">
        <v>1402</v>
      </c>
      <c r="AS20" s="29" t="s">
        <v>1803</v>
      </c>
      <c r="AT20" s="465"/>
      <c r="AU20" s="4" t="s">
        <v>168</v>
      </c>
      <c r="AV20" s="6">
        <v>10.4</v>
      </c>
      <c r="AW20" s="6">
        <v>16</v>
      </c>
      <c r="AX20" s="33">
        <f t="shared" si="18"/>
        <v>0.65</v>
      </c>
      <c r="AY20" s="42">
        <v>0.17699999999999999</v>
      </c>
      <c r="AZ20" s="3">
        <v>5</v>
      </c>
      <c r="BA20" s="37">
        <f t="shared" si="19"/>
        <v>28.248587570621471</v>
      </c>
      <c r="BB20" s="3">
        <v>5</v>
      </c>
      <c r="BC20" s="3">
        <v>5</v>
      </c>
      <c r="BD20" s="36"/>
      <c r="BE20" s="4" t="s">
        <v>168</v>
      </c>
      <c r="BF20" s="6">
        <v>18.399999999999999</v>
      </c>
      <c r="BG20" s="6">
        <v>22</v>
      </c>
      <c r="BH20" s="33">
        <f t="shared" si="20"/>
        <v>0.83636363636363631</v>
      </c>
      <c r="BI20" s="42">
        <v>2.855</v>
      </c>
      <c r="BJ20" s="3"/>
      <c r="BK20" s="37" t="str">
        <f t="shared" si="21"/>
        <v/>
      </c>
      <c r="BL20" s="3"/>
      <c r="BM20" s="3"/>
      <c r="BN20" s="36"/>
      <c r="BO20" s="4" t="s">
        <v>168</v>
      </c>
      <c r="BP20" s="6">
        <v>13.6</v>
      </c>
      <c r="BQ20" s="6">
        <v>17</v>
      </c>
      <c r="BR20" s="33">
        <f t="shared" si="22"/>
        <v>0.79999999999999993</v>
      </c>
      <c r="BS20" s="42">
        <v>0.60399999999999998</v>
      </c>
      <c r="BT20" s="3"/>
      <c r="BU20" s="37" t="str">
        <f t="shared" si="23"/>
        <v/>
      </c>
      <c r="BV20" s="3"/>
      <c r="BW20" s="3"/>
      <c r="BX20" s="36"/>
      <c r="BY20" s="4" t="s">
        <v>168</v>
      </c>
      <c r="BZ20" s="6">
        <v>13.6</v>
      </c>
      <c r="CA20" s="6"/>
      <c r="CB20" s="33" t="str">
        <f t="shared" si="24"/>
        <v/>
      </c>
      <c r="CC20" s="42">
        <v>1.629</v>
      </c>
      <c r="CD20" s="3"/>
      <c r="CE20" s="37" t="str">
        <f t="shared" si="25"/>
        <v/>
      </c>
      <c r="CF20" s="3"/>
      <c r="CG20" s="3"/>
      <c r="CH20" s="36"/>
      <c r="CI20" s="4" t="s">
        <v>168</v>
      </c>
      <c r="CJ20" s="6">
        <v>10.4</v>
      </c>
      <c r="CK20" s="6"/>
      <c r="CL20" s="33" t="str">
        <f t="shared" si="26"/>
        <v/>
      </c>
      <c r="CM20" s="42">
        <v>0.13100000000000001</v>
      </c>
      <c r="CN20" s="3"/>
      <c r="CO20" s="37" t="str">
        <f t="shared" si="27"/>
        <v/>
      </c>
      <c r="CP20" s="3"/>
      <c r="CQ20" s="3"/>
      <c r="CR20" s="36"/>
      <c r="CS20" s="4"/>
      <c r="CT20" s="6"/>
      <c r="CU20" s="6"/>
      <c r="CV20" s="33" t="str">
        <f t="shared" si="28"/>
        <v/>
      </c>
      <c r="CW20" s="42"/>
      <c r="CX20" s="3"/>
      <c r="CY20" s="37" t="str">
        <f t="shared" si="29"/>
        <v/>
      </c>
      <c r="CZ20" s="3"/>
      <c r="DA20" s="3"/>
      <c r="DB20" s="36"/>
      <c r="DC20" s="4"/>
      <c r="DD20" s="6"/>
      <c r="DE20" s="6"/>
      <c r="DF20" s="33" t="str">
        <f t="shared" si="30"/>
        <v/>
      </c>
      <c r="DG20" s="42"/>
      <c r="DH20" s="3"/>
      <c r="DI20" s="37" t="str">
        <f t="shared" si="31"/>
        <v/>
      </c>
      <c r="DJ20" s="3"/>
      <c r="DK20" s="3"/>
      <c r="DL20" s="4"/>
      <c r="DM20" s="4"/>
      <c r="DN20" s="6"/>
      <c r="DO20" s="6"/>
      <c r="DP20" s="33" t="str">
        <f t="shared" si="32"/>
        <v/>
      </c>
      <c r="DQ20" s="42"/>
      <c r="DR20" s="3"/>
      <c r="DS20" s="37" t="str">
        <f t="shared" si="33"/>
        <v/>
      </c>
      <c r="DT20" s="3"/>
      <c r="DU20" s="3"/>
      <c r="DV20" s="4"/>
      <c r="DW20" s="4"/>
      <c r="DX20" s="6"/>
      <c r="DY20" s="6"/>
      <c r="DZ20" s="33" t="str">
        <f t="shared" si="34"/>
        <v/>
      </c>
      <c r="EA20" s="42"/>
      <c r="EB20" s="3"/>
      <c r="EC20" s="37" t="str">
        <f t="shared" si="35"/>
        <v/>
      </c>
      <c r="ED20" s="3"/>
      <c r="EE20" s="3"/>
      <c r="EF20" s="4"/>
      <c r="EG20" s="4"/>
      <c r="EH20" s="6"/>
      <c r="EI20" s="6"/>
      <c r="EJ20" s="33" t="str">
        <f t="shared" si="36"/>
        <v/>
      </c>
      <c r="EK20" s="42"/>
      <c r="EL20" s="3"/>
      <c r="EM20" s="37" t="str">
        <f t="shared" si="37"/>
        <v/>
      </c>
      <c r="EN20" s="3"/>
      <c r="EO20" s="3"/>
      <c r="EP20" s="4"/>
      <c r="EQ20" s="4"/>
      <c r="ER20" s="6"/>
      <c r="ES20" s="6"/>
      <c r="ET20" s="33" t="str">
        <f t="shared" si="38"/>
        <v/>
      </c>
      <c r="EU20" s="42"/>
      <c r="EV20" s="3"/>
      <c r="EW20" s="37" t="str">
        <f t="shared" si="39"/>
        <v/>
      </c>
      <c r="EX20" s="3"/>
      <c r="EY20" s="3"/>
      <c r="EZ20" s="4"/>
      <c r="FA20" s="4"/>
      <c r="FB20" s="6"/>
      <c r="FC20" s="6"/>
      <c r="FD20" s="33" t="str">
        <f t="shared" si="40"/>
        <v/>
      </c>
      <c r="FE20" s="42"/>
      <c r="FF20" s="3"/>
      <c r="FG20" s="37" t="str">
        <f t="shared" si="41"/>
        <v/>
      </c>
      <c r="FH20" s="3"/>
      <c r="FI20" s="3"/>
    </row>
    <row r="21" spans="2:165" ht="285.95" hidden="1">
      <c r="B21" s="3" t="s">
        <v>1733</v>
      </c>
      <c r="C21" s="3" t="s">
        <v>1775</v>
      </c>
      <c r="D21" s="3" t="s">
        <v>300</v>
      </c>
      <c r="E21" s="28" t="s">
        <v>313</v>
      </c>
      <c r="F21" s="4">
        <v>5</v>
      </c>
      <c r="G21" s="123" t="str">
        <f t="shared" si="0"/>
        <v>×
[P・Q]
×・×</v>
      </c>
      <c r="H21" s="123" t="str">
        <f t="shared" si="1"/>
        <v>×
[P・Q]
○・×</v>
      </c>
      <c r="I21" s="123" t="str">
        <f t="shared" si="2"/>
        <v>×
[P・Q]
○・×</v>
      </c>
      <c r="J21" s="123" t="str">
        <f t="shared" si="3"/>
        <v>×
[P・Q]
--・--</v>
      </c>
      <c r="K21" s="123" t="str">
        <f t="shared" si="4"/>
        <v>×
[P・Q]
--・--</v>
      </c>
      <c r="L21" s="123" t="str">
        <f t="shared" si="5"/>
        <v/>
      </c>
      <c r="M21" s="123" t="str">
        <f t="shared" si="6"/>
        <v/>
      </c>
      <c r="N21" s="123" t="str">
        <f t="shared" si="7"/>
        <v/>
      </c>
      <c r="O21" s="123" t="str">
        <f t="shared" si="44"/>
        <v/>
      </c>
      <c r="P21" s="123" t="str">
        <f t="shared" si="8"/>
        <v/>
      </c>
      <c r="Q21" s="123" t="str">
        <f t="shared" si="9"/>
        <v/>
      </c>
      <c r="R21" s="123" t="str">
        <f t="shared" si="10"/>
        <v/>
      </c>
      <c r="S21" s="76">
        <f t="shared" si="11"/>
        <v>0.6</v>
      </c>
      <c r="T21" s="4">
        <v>4</v>
      </c>
      <c r="U21" s="4">
        <v>5</v>
      </c>
      <c r="V21" s="4">
        <v>3</v>
      </c>
      <c r="W21" s="4">
        <v>5</v>
      </c>
      <c r="X21" s="77">
        <f t="shared" si="12"/>
        <v>15</v>
      </c>
      <c r="Y21" s="77">
        <f t="shared" si="13"/>
        <v>0</v>
      </c>
      <c r="Z21" s="77" cm="1">
        <f t="array" ref="Z21">_xlfn.IFS(S21&gt;=0.8,5,S21&gt;=0.6,3,S21&gt;=0.2,1,S21&lt;0.2,0)</f>
        <v>3</v>
      </c>
      <c r="AA21" s="55">
        <f t="shared" si="46"/>
        <v>35</v>
      </c>
      <c r="AB21" s="5" t="s">
        <v>1839</v>
      </c>
      <c r="AC21" s="5" t="s">
        <v>1840</v>
      </c>
      <c r="AD21" s="5"/>
      <c r="AE21" s="5"/>
      <c r="AF21" s="5"/>
      <c r="AG21" s="5" t="s">
        <v>1841</v>
      </c>
      <c r="AH21" s="464"/>
      <c r="AI21" s="205">
        <f t="shared" si="14"/>
        <v>0.70050505050505052</v>
      </c>
      <c r="AJ21" s="206">
        <f t="shared" si="15"/>
        <v>56.666666666666664</v>
      </c>
      <c r="AK21" s="80" t="str">
        <f t="shared" si="16"/>
        <v>HIGH</v>
      </c>
      <c r="AL21" s="80" t="str">
        <f t="shared" si="17"/>
        <v>LOW</v>
      </c>
      <c r="AM21" s="280" t="s">
        <v>1842</v>
      </c>
      <c r="AN21" s="364" t="s">
        <v>1843</v>
      </c>
      <c r="AO21" s="126" t="str">
        <f>IF(AND(AA21&gt;Summary!$C$5, AA21&lt;=Summary!$D$5),Summary!$B$5,IF(AND(AA21&gt;Summary!$C$6, AA21&lt;=Summary!$D$6),Summary!$B$6,IF(AND(AA21&gt;Summary!$C$7, AA21&lt;=Summary!$D$7),Summary!$B$7,Summary!$B$8)))</f>
        <v>△</v>
      </c>
      <c r="AP21" s="14" t="s">
        <v>174</v>
      </c>
      <c r="AQ21" s="14" t="s">
        <v>168</v>
      </c>
      <c r="AR21" s="14" t="s">
        <v>1402</v>
      </c>
      <c r="AS21" s="29" t="s">
        <v>1810</v>
      </c>
      <c r="AT21" s="465"/>
      <c r="AU21" s="4" t="s">
        <v>168</v>
      </c>
      <c r="AV21" s="6">
        <v>10.4</v>
      </c>
      <c r="AW21" s="6">
        <v>24</v>
      </c>
      <c r="AX21" s="33">
        <f t="shared" si="18"/>
        <v>0.43333333333333335</v>
      </c>
      <c r="AY21" s="42">
        <v>0.15</v>
      </c>
      <c r="AZ21" s="3">
        <v>13</v>
      </c>
      <c r="BA21" s="37">
        <f t="shared" si="19"/>
        <v>86.666666666666671</v>
      </c>
      <c r="BB21" s="3">
        <v>13</v>
      </c>
      <c r="BC21" s="3">
        <v>13</v>
      </c>
      <c r="BD21" s="36"/>
      <c r="BE21" s="4" t="s">
        <v>168</v>
      </c>
      <c r="BF21" s="6">
        <v>22.4</v>
      </c>
      <c r="BG21" s="6">
        <v>22</v>
      </c>
      <c r="BH21" s="33">
        <f t="shared" si="20"/>
        <v>1.0181818181818181</v>
      </c>
      <c r="BI21" s="42">
        <v>0.3</v>
      </c>
      <c r="BJ21" s="3">
        <v>7</v>
      </c>
      <c r="BK21" s="37">
        <f t="shared" si="21"/>
        <v>23.333333333333336</v>
      </c>
      <c r="BL21" s="3">
        <v>7</v>
      </c>
      <c r="BM21" s="3">
        <v>7</v>
      </c>
      <c r="BN21" s="36"/>
      <c r="BO21" s="4" t="s">
        <v>168</v>
      </c>
      <c r="BP21" s="6">
        <v>10.4</v>
      </c>
      <c r="BQ21" s="6">
        <v>16</v>
      </c>
      <c r="BR21" s="33">
        <f t="shared" si="22"/>
        <v>0.65</v>
      </c>
      <c r="BS21" s="42">
        <v>0.15</v>
      </c>
      <c r="BT21" s="3">
        <v>9</v>
      </c>
      <c r="BU21" s="37">
        <f t="shared" si="23"/>
        <v>60</v>
      </c>
      <c r="BV21" s="3">
        <v>9</v>
      </c>
      <c r="BW21" s="3">
        <v>9</v>
      </c>
      <c r="BX21" s="36"/>
      <c r="BY21" s="4" t="s">
        <v>178</v>
      </c>
      <c r="BZ21" s="6">
        <v>10.4</v>
      </c>
      <c r="CA21" s="6"/>
      <c r="CB21" s="33" t="str">
        <f t="shared" si="24"/>
        <v/>
      </c>
      <c r="CC21" s="42"/>
      <c r="CD21" s="3"/>
      <c r="CE21" s="37" t="str">
        <f t="shared" si="25"/>
        <v/>
      </c>
      <c r="CF21" s="3"/>
      <c r="CG21" s="3"/>
      <c r="CH21" s="36"/>
      <c r="CI21" s="4" t="s">
        <v>178</v>
      </c>
      <c r="CJ21" s="6">
        <v>22.4</v>
      </c>
      <c r="CK21" s="6"/>
      <c r="CL21" s="33" t="str">
        <f t="shared" si="26"/>
        <v/>
      </c>
      <c r="CM21" s="42"/>
      <c r="CN21" s="3"/>
      <c r="CO21" s="37" t="str">
        <f t="shared" si="27"/>
        <v/>
      </c>
      <c r="CP21" s="3"/>
      <c r="CQ21" s="3"/>
      <c r="CR21" s="36"/>
      <c r="CS21" s="4"/>
      <c r="CT21" s="6"/>
      <c r="CU21" s="6"/>
      <c r="CV21" s="33" t="str">
        <f t="shared" si="28"/>
        <v/>
      </c>
      <c r="CW21" s="42"/>
      <c r="CX21" s="3"/>
      <c r="CY21" s="37" t="str">
        <f t="shared" si="29"/>
        <v/>
      </c>
      <c r="CZ21" s="3"/>
      <c r="DA21" s="3"/>
      <c r="DB21" s="4"/>
      <c r="DC21" s="4"/>
      <c r="DD21" s="6"/>
      <c r="DE21" s="6"/>
      <c r="DF21" s="33" t="str">
        <f t="shared" si="30"/>
        <v/>
      </c>
      <c r="DG21" s="42"/>
      <c r="DH21" s="3"/>
      <c r="DI21" s="37" t="str">
        <f t="shared" si="31"/>
        <v/>
      </c>
      <c r="DJ21" s="3"/>
      <c r="DK21" s="3"/>
      <c r="DL21" s="4"/>
      <c r="DM21" s="4"/>
      <c r="DN21" s="6"/>
      <c r="DO21" s="6"/>
      <c r="DP21" s="33" t="str">
        <f t="shared" si="32"/>
        <v/>
      </c>
      <c r="DQ21" s="42"/>
      <c r="DR21" s="3"/>
      <c r="DS21" s="37" t="str">
        <f t="shared" si="33"/>
        <v/>
      </c>
      <c r="DT21" s="3"/>
      <c r="DU21" s="3"/>
      <c r="DV21" s="4"/>
      <c r="DW21" s="4"/>
      <c r="DX21" s="6"/>
      <c r="DY21" s="6"/>
      <c r="DZ21" s="33" t="str">
        <f t="shared" si="34"/>
        <v/>
      </c>
      <c r="EA21" s="42"/>
      <c r="EB21" s="3"/>
      <c r="EC21" s="37" t="str">
        <f t="shared" si="35"/>
        <v/>
      </c>
      <c r="ED21" s="3"/>
      <c r="EE21" s="3"/>
      <c r="EF21" s="4"/>
      <c r="EG21" s="4"/>
      <c r="EH21" s="6"/>
      <c r="EI21" s="6"/>
      <c r="EJ21" s="33" t="str">
        <f t="shared" si="36"/>
        <v/>
      </c>
      <c r="EK21" s="42"/>
      <c r="EL21" s="3"/>
      <c r="EM21" s="37" t="str">
        <f t="shared" si="37"/>
        <v/>
      </c>
      <c r="EN21" s="3"/>
      <c r="EO21" s="3"/>
      <c r="EP21" s="4"/>
      <c r="EQ21" s="4"/>
      <c r="ER21" s="6"/>
      <c r="ES21" s="6"/>
      <c r="ET21" s="33" t="str">
        <f t="shared" si="38"/>
        <v/>
      </c>
      <c r="EU21" s="42"/>
      <c r="EV21" s="3"/>
      <c r="EW21" s="37" t="str">
        <f t="shared" si="39"/>
        <v/>
      </c>
      <c r="EX21" s="3"/>
      <c r="EY21" s="3"/>
      <c r="EZ21" s="4"/>
      <c r="FA21" s="4"/>
      <c r="FB21" s="6"/>
      <c r="FC21" s="6"/>
      <c r="FD21" s="33" t="str">
        <f t="shared" si="40"/>
        <v/>
      </c>
      <c r="FE21" s="42"/>
      <c r="FF21" s="3"/>
      <c r="FG21" s="37" t="str">
        <f t="shared" si="41"/>
        <v/>
      </c>
      <c r="FH21" s="3"/>
      <c r="FI21" s="3"/>
    </row>
    <row r="22" spans="2:165" ht="285.95" hidden="1">
      <c r="B22" s="27" t="s">
        <v>1844</v>
      </c>
      <c r="C22" s="3" t="s">
        <v>1775</v>
      </c>
      <c r="D22" s="27" t="s">
        <v>287</v>
      </c>
      <c r="E22" s="28" t="s">
        <v>313</v>
      </c>
      <c r="F22" s="4">
        <v>4</v>
      </c>
      <c r="G22" s="123" t="str">
        <f t="shared" si="0"/>
        <v>×
[P・Q]
×・--</v>
      </c>
      <c r="H22" s="123" t="str">
        <f t="shared" si="1"/>
        <v>×
[P・Q]
--・--</v>
      </c>
      <c r="I22" s="123" t="str">
        <f t="shared" si="2"/>
        <v>×
[P・Q]
--・--</v>
      </c>
      <c r="J22" s="123" t="str">
        <f t="shared" si="3"/>
        <v>×
[P・Q]
--・--</v>
      </c>
      <c r="K22" s="123" t="str">
        <f t="shared" si="4"/>
        <v/>
      </c>
      <c r="L22" s="123" t="str">
        <f t="shared" si="5"/>
        <v/>
      </c>
      <c r="M22" s="123" t="str">
        <f t="shared" si="6"/>
        <v/>
      </c>
      <c r="N22" s="123" t="str">
        <f t="shared" si="7"/>
        <v/>
      </c>
      <c r="O22" s="123" t="str">
        <f t="shared" si="44"/>
        <v/>
      </c>
      <c r="P22" s="123" t="str">
        <f t="shared" si="8"/>
        <v/>
      </c>
      <c r="Q22" s="123" t="str">
        <f t="shared" si="9"/>
        <v/>
      </c>
      <c r="R22" s="123" t="str">
        <f t="shared" si="10"/>
        <v/>
      </c>
      <c r="S22" s="76">
        <f t="shared" si="11"/>
        <v>0.25</v>
      </c>
      <c r="T22" s="4">
        <v>3</v>
      </c>
      <c r="U22" s="4">
        <v>4</v>
      </c>
      <c r="V22" s="4">
        <v>3</v>
      </c>
      <c r="W22" s="4">
        <v>4</v>
      </c>
      <c r="X22" s="77">
        <f t="shared" si="12"/>
        <v>0</v>
      </c>
      <c r="Y22" s="77">
        <f t="shared" si="13"/>
        <v>0</v>
      </c>
      <c r="Z22" s="77" cm="1">
        <f t="array" ref="Z22">_xlfn.IFS(S22&gt;=0.8,5,S22&gt;=0.6,3,S22&gt;=0.2,1,S22&lt;0.2,0)</f>
        <v>1</v>
      </c>
      <c r="AA22" s="55">
        <f>SUM(T22:Z22)</f>
        <v>15</v>
      </c>
      <c r="AB22" s="5" t="s">
        <v>1845</v>
      </c>
      <c r="AC22" s="5" t="s">
        <v>1787</v>
      </c>
      <c r="AD22" s="80"/>
      <c r="AE22" s="3"/>
      <c r="AF22" s="5"/>
      <c r="AG22" s="5" t="s">
        <v>1846</v>
      </c>
      <c r="AH22" s="464"/>
      <c r="AI22" s="205">
        <f t="shared" si="14"/>
        <v>0.25123966942148757</v>
      </c>
      <c r="AJ22" s="206" t="str">
        <f t="shared" si="15"/>
        <v xml:space="preserve"> </v>
      </c>
      <c r="AK22" s="80" t="str">
        <f t="shared" si="16"/>
        <v>LOW</v>
      </c>
      <c r="AL22" s="80" t="str">
        <f>IFERROR(IF(AJ22&lt;=8,"HIGH","LOW"),"")</f>
        <v>LOW</v>
      </c>
      <c r="AM22" s="280" t="s">
        <v>1847</v>
      </c>
      <c r="AN22" s="364"/>
      <c r="AO22" s="126" t="str">
        <f>IF(AND(AA22&gt;Summary!$C$5, AA22&lt;=Summary!$D$5),Summary!$B$5,IF(AND(AA22&gt;Summary!$C$6, AA22&lt;=Summary!$D$6),Summary!$B$6,IF(AND(AA22&gt;Summary!$C$7, AA22&lt;=Summary!$D$7),Summary!$B$7,Summary!$B$8)))</f>
        <v>×</v>
      </c>
      <c r="AP22" s="14" t="s">
        <v>178</v>
      </c>
      <c r="AQ22" s="14" t="s">
        <v>168</v>
      </c>
      <c r="AR22" s="14" t="s">
        <v>1402</v>
      </c>
      <c r="AS22" s="29" t="s">
        <v>1810</v>
      </c>
      <c r="AT22" s="491"/>
      <c r="AU22" s="247" t="s">
        <v>168</v>
      </c>
      <c r="AV22" s="84">
        <v>15.2</v>
      </c>
      <c r="AW22" s="6">
        <v>60.5</v>
      </c>
      <c r="AX22" s="33">
        <f t="shared" si="18"/>
        <v>0.25123966942148757</v>
      </c>
      <c r="AY22" s="42">
        <v>0.13</v>
      </c>
      <c r="AZ22" s="3"/>
      <c r="BA22" s="37" t="str">
        <f t="shared" si="19"/>
        <v/>
      </c>
      <c r="BB22" s="3"/>
      <c r="BC22" s="3"/>
      <c r="BD22" s="36"/>
      <c r="BE22" s="4" t="s">
        <v>178</v>
      </c>
      <c r="BF22" s="6">
        <v>10.4</v>
      </c>
      <c r="BG22" s="6"/>
      <c r="BH22" s="33" t="str">
        <f t="shared" si="20"/>
        <v/>
      </c>
      <c r="BI22" s="42">
        <v>0.13</v>
      </c>
      <c r="BJ22" s="3"/>
      <c r="BK22" s="37" t="str">
        <f t="shared" si="21"/>
        <v/>
      </c>
      <c r="BL22" s="3"/>
      <c r="BM22" s="3"/>
      <c r="BN22" s="36"/>
      <c r="BO22" s="4" t="s">
        <v>178</v>
      </c>
      <c r="BP22" s="6">
        <v>17.600000000000001</v>
      </c>
      <c r="BQ22" s="6"/>
      <c r="BR22" s="33" t="str">
        <f t="shared" si="22"/>
        <v/>
      </c>
      <c r="BS22" s="42">
        <v>0.16</v>
      </c>
      <c r="BT22" s="3"/>
      <c r="BU22" s="37" t="str">
        <f t="shared" si="23"/>
        <v/>
      </c>
      <c r="BV22" s="3"/>
      <c r="BW22" s="3"/>
      <c r="BX22" s="36"/>
      <c r="BY22" s="4" t="s">
        <v>178</v>
      </c>
      <c r="BZ22" s="6">
        <v>15.2</v>
      </c>
      <c r="CA22" s="6"/>
      <c r="CB22" s="33" t="str">
        <f t="shared" si="24"/>
        <v/>
      </c>
      <c r="CC22" s="42">
        <v>0.16</v>
      </c>
      <c r="CD22" s="3"/>
      <c r="CE22" s="37" t="str">
        <f t="shared" si="25"/>
        <v/>
      </c>
      <c r="CF22" s="3"/>
      <c r="CG22" s="3"/>
      <c r="CH22" s="36"/>
      <c r="CI22" s="4"/>
      <c r="CJ22" s="6"/>
      <c r="CK22" s="6"/>
      <c r="CL22" s="33" t="str">
        <f t="shared" si="26"/>
        <v/>
      </c>
      <c r="CM22" s="42"/>
      <c r="CN22" s="3"/>
      <c r="CO22" s="37" t="str">
        <f t="shared" si="27"/>
        <v/>
      </c>
      <c r="CP22" s="3"/>
      <c r="CQ22" s="3"/>
      <c r="CR22" s="36"/>
      <c r="CS22" s="4"/>
      <c r="CT22" s="6"/>
      <c r="CU22" s="6"/>
      <c r="CV22" s="33" t="str">
        <f t="shared" si="28"/>
        <v/>
      </c>
      <c r="CW22" s="42"/>
      <c r="CX22" s="3"/>
      <c r="CY22" s="37" t="str">
        <f t="shared" si="29"/>
        <v/>
      </c>
      <c r="CZ22" s="3"/>
      <c r="DA22" s="3"/>
      <c r="DB22" s="4"/>
      <c r="DC22" s="4"/>
      <c r="DD22" s="6"/>
      <c r="DE22" s="6"/>
      <c r="DF22" s="33" t="str">
        <f t="shared" si="30"/>
        <v/>
      </c>
      <c r="DG22" s="42"/>
      <c r="DH22" s="3"/>
      <c r="DI22" s="37" t="str">
        <f t="shared" si="31"/>
        <v/>
      </c>
      <c r="DJ22" s="3"/>
      <c r="DK22" s="3"/>
      <c r="DL22" s="4"/>
      <c r="DM22" s="4"/>
      <c r="DN22" s="6"/>
      <c r="DO22" s="6"/>
      <c r="DP22" s="33" t="str">
        <f t="shared" si="32"/>
        <v/>
      </c>
      <c r="DQ22" s="42"/>
      <c r="DR22" s="3"/>
      <c r="DS22" s="37" t="str">
        <f t="shared" si="33"/>
        <v/>
      </c>
      <c r="DT22" s="3"/>
      <c r="DU22" s="3"/>
      <c r="DV22" s="4"/>
      <c r="DW22" s="4"/>
      <c r="DX22" s="6"/>
      <c r="DY22" s="6"/>
      <c r="DZ22" s="33" t="str">
        <f t="shared" si="34"/>
        <v/>
      </c>
      <c r="EA22" s="42"/>
      <c r="EB22" s="3"/>
      <c r="EC22" s="37" t="str">
        <f t="shared" si="35"/>
        <v/>
      </c>
      <c r="ED22" s="3"/>
      <c r="EE22" s="3"/>
      <c r="EF22" s="4"/>
      <c r="EG22" s="4"/>
      <c r="EH22" s="6"/>
      <c r="EI22" s="6"/>
      <c r="EJ22" s="33" t="str">
        <f t="shared" si="36"/>
        <v/>
      </c>
      <c r="EK22" s="42"/>
      <c r="EL22" s="3"/>
      <c r="EM22" s="37" t="str">
        <f t="shared" si="37"/>
        <v/>
      </c>
      <c r="EN22" s="3"/>
      <c r="EO22" s="3"/>
      <c r="EP22" s="4"/>
      <c r="EQ22" s="4"/>
      <c r="ER22" s="6"/>
      <c r="ES22" s="6"/>
      <c r="ET22" s="33" t="str">
        <f t="shared" si="38"/>
        <v/>
      </c>
      <c r="EU22" s="42"/>
      <c r="EV22" s="3"/>
      <c r="EW22" s="37" t="str">
        <f t="shared" si="39"/>
        <v/>
      </c>
      <c r="EX22" s="3"/>
      <c r="EY22" s="3"/>
      <c r="EZ22" s="4"/>
      <c r="FA22" s="4"/>
      <c r="FB22" s="6"/>
      <c r="FC22" s="6"/>
      <c r="FD22" s="33" t="str">
        <f t="shared" si="40"/>
        <v/>
      </c>
      <c r="FE22" s="42"/>
      <c r="FF22" s="3"/>
      <c r="FG22" s="37" t="str">
        <f t="shared" si="41"/>
        <v/>
      </c>
      <c r="FH22" s="3"/>
      <c r="FI22" s="3"/>
    </row>
    <row r="23" spans="2:165" ht="285.95" hidden="1">
      <c r="B23" s="3" t="s">
        <v>1749</v>
      </c>
      <c r="C23" s="3" t="s">
        <v>1775</v>
      </c>
      <c r="D23" s="3" t="s">
        <v>287</v>
      </c>
      <c r="E23" s="28" t="s">
        <v>313</v>
      </c>
      <c r="F23" s="4">
        <v>5</v>
      </c>
      <c r="G23" s="123" t="str">
        <f t="shared" si="0"/>
        <v>○
[P・Q]
○・○</v>
      </c>
      <c r="H23" s="123" t="str">
        <f t="shared" si="1"/>
        <v>×
[P・Q]
×・--</v>
      </c>
      <c r="I23" s="123" t="str">
        <f t="shared" si="2"/>
        <v>×
[P・Q]
--・--</v>
      </c>
      <c r="J23" s="123" t="str">
        <f t="shared" si="3"/>
        <v>×
[P・Q]
--・--</v>
      </c>
      <c r="K23" s="123" t="str">
        <f t="shared" si="4"/>
        <v>×
[P・Q]
--・--</v>
      </c>
      <c r="L23" s="123" t="str">
        <f t="shared" si="5"/>
        <v/>
      </c>
      <c r="M23" s="123" t="str">
        <f t="shared" si="6"/>
        <v/>
      </c>
      <c r="N23" s="123" t="str">
        <f t="shared" si="7"/>
        <v/>
      </c>
      <c r="O23" s="123" t="str">
        <f t="shared" si="44"/>
        <v/>
      </c>
      <c r="P23" s="123" t="str">
        <f t="shared" si="8"/>
        <v/>
      </c>
      <c r="Q23" s="123" t="str">
        <f t="shared" si="9"/>
        <v/>
      </c>
      <c r="R23" s="123" t="str">
        <f t="shared" si="10"/>
        <v/>
      </c>
      <c r="S23" s="76">
        <f t="shared" si="11"/>
        <v>0.4</v>
      </c>
      <c r="T23" s="4">
        <v>4</v>
      </c>
      <c r="U23" s="4">
        <v>5</v>
      </c>
      <c r="V23" s="4">
        <v>5</v>
      </c>
      <c r="W23" s="4">
        <v>4</v>
      </c>
      <c r="X23" s="77">
        <f t="shared" si="12"/>
        <v>7.5</v>
      </c>
      <c r="Y23" s="77">
        <f t="shared" si="13"/>
        <v>7.5</v>
      </c>
      <c r="Z23" s="77" cm="1">
        <f t="array" ref="Z23">_xlfn.IFS(S23&gt;=0.8,5,S23&gt;=0.6,3,S23&gt;=0.2,1,S23&lt;0.2,0)</f>
        <v>1</v>
      </c>
      <c r="AA23" s="55">
        <f t="shared" ref="AA23" si="47">SUM(T23:Z23)</f>
        <v>34</v>
      </c>
      <c r="AB23" s="5" t="s">
        <v>1848</v>
      </c>
      <c r="AC23" s="5" t="s">
        <v>1849</v>
      </c>
      <c r="AD23" s="80"/>
      <c r="AE23" s="5"/>
      <c r="AF23" s="5"/>
      <c r="AG23" s="5" t="s">
        <v>1850</v>
      </c>
      <c r="AH23" s="464"/>
      <c r="AI23" s="205">
        <f t="shared" si="14"/>
        <v>0.59749373433583963</v>
      </c>
      <c r="AJ23" s="206">
        <f t="shared" si="15"/>
        <v>5.1325919589392646</v>
      </c>
      <c r="AK23" s="80" t="str">
        <f t="shared" si="16"/>
        <v>LOW</v>
      </c>
      <c r="AL23" s="80" t="str">
        <f t="shared" si="17"/>
        <v>HIGH</v>
      </c>
      <c r="AM23" s="280" t="s">
        <v>1851</v>
      </c>
      <c r="AN23" s="364" t="s">
        <v>1852</v>
      </c>
      <c r="AO23" s="126" t="str">
        <f>IF(AND(AA23&gt;Summary!$C$5, AA23&lt;=Summary!$D$5),Summary!$B$5,IF(AND(AA23&gt;Summary!$C$6, AA23&lt;=Summary!$D$6),Summary!$B$6,IF(AND(AA23&gt;Summary!$C$7, AA23&lt;=Summary!$D$7),Summary!$B$7,Summary!$B$8)))</f>
        <v>△</v>
      </c>
      <c r="AP23" s="14" t="s">
        <v>174</v>
      </c>
      <c r="AQ23" s="14" t="s">
        <v>168</v>
      </c>
      <c r="AR23" s="14" t="s">
        <v>1402</v>
      </c>
      <c r="AS23" s="5" t="s">
        <v>1853</v>
      </c>
      <c r="AT23" s="465"/>
      <c r="AU23" s="4" t="s">
        <v>168</v>
      </c>
      <c r="AV23" s="6">
        <v>13.6</v>
      </c>
      <c r="AW23" s="486">
        <v>21</v>
      </c>
      <c r="AX23" s="33">
        <f t="shared" si="18"/>
        <v>0.64761904761904765</v>
      </c>
      <c r="AY23" s="42">
        <v>1.169</v>
      </c>
      <c r="AZ23" s="3">
        <v>6</v>
      </c>
      <c r="BA23" s="37">
        <f>IF(AZ23="","",AZ23/AY23)</f>
        <v>5.1325919589392646</v>
      </c>
      <c r="BB23" s="3">
        <v>6</v>
      </c>
      <c r="BC23" s="3">
        <v>6</v>
      </c>
      <c r="BD23" s="36"/>
      <c r="BE23" s="4" t="s">
        <v>168</v>
      </c>
      <c r="BF23" s="6">
        <v>10.4</v>
      </c>
      <c r="BG23" s="6">
        <v>19</v>
      </c>
      <c r="BH23" s="33">
        <f t="shared" si="20"/>
        <v>0.54736842105263162</v>
      </c>
      <c r="BI23" s="42">
        <v>0.2</v>
      </c>
      <c r="BJ23" s="3"/>
      <c r="BK23" s="37" t="str">
        <f t="shared" si="21"/>
        <v/>
      </c>
      <c r="BL23" s="3"/>
      <c r="BM23" s="3"/>
      <c r="BN23" s="36"/>
      <c r="BO23" s="4" t="s">
        <v>178</v>
      </c>
      <c r="BP23" s="6">
        <v>22.4</v>
      </c>
      <c r="BQ23" s="6"/>
      <c r="BR23" s="33" t="str">
        <f t="shared" si="22"/>
        <v/>
      </c>
      <c r="BS23" s="42">
        <v>1.228</v>
      </c>
      <c r="BT23" s="3"/>
      <c r="BU23" s="37" t="str">
        <f t="shared" si="23"/>
        <v/>
      </c>
      <c r="BV23" s="3"/>
      <c r="BW23" s="3"/>
      <c r="BX23" s="36"/>
      <c r="BY23" s="4" t="s">
        <v>178</v>
      </c>
      <c r="BZ23" s="6">
        <v>22.4</v>
      </c>
      <c r="CA23" s="6"/>
      <c r="CB23" s="33" t="str">
        <f t="shared" si="24"/>
        <v/>
      </c>
      <c r="CC23" s="42">
        <v>1.2749999999999999</v>
      </c>
      <c r="CD23" s="3"/>
      <c r="CE23" s="37" t="str">
        <f t="shared" si="25"/>
        <v/>
      </c>
      <c r="CF23" s="3"/>
      <c r="CG23" s="3"/>
      <c r="CH23" s="36"/>
      <c r="CI23" s="4" t="s">
        <v>178</v>
      </c>
      <c r="CJ23" s="6">
        <v>11.2</v>
      </c>
      <c r="CK23" s="6"/>
      <c r="CL23" s="33" t="str">
        <f>IF(CK23="","",CJ23/CK23)</f>
        <v/>
      </c>
      <c r="CM23" s="42">
        <v>1.1240000000000001</v>
      </c>
      <c r="CN23" s="3"/>
      <c r="CO23" s="37" t="str">
        <f t="shared" si="27"/>
        <v/>
      </c>
      <c r="CP23" s="3"/>
      <c r="CQ23" s="3"/>
      <c r="CR23" s="36"/>
      <c r="CS23" s="4"/>
      <c r="CT23" s="6"/>
      <c r="CU23" s="6"/>
      <c r="CV23" s="33" t="str">
        <f t="shared" si="28"/>
        <v/>
      </c>
      <c r="CW23" s="42"/>
      <c r="CX23" s="3"/>
      <c r="CY23" s="37" t="str">
        <f t="shared" si="29"/>
        <v/>
      </c>
      <c r="CZ23" s="3"/>
      <c r="DA23" s="3"/>
      <c r="DB23" s="4"/>
      <c r="DC23" s="4"/>
      <c r="DD23" s="6"/>
      <c r="DE23" s="6"/>
      <c r="DF23" s="33" t="str">
        <f t="shared" si="30"/>
        <v/>
      </c>
      <c r="DG23" s="42"/>
      <c r="DH23" s="3"/>
      <c r="DI23" s="37" t="str">
        <f t="shared" si="31"/>
        <v/>
      </c>
      <c r="DJ23" s="3"/>
      <c r="DK23" s="3"/>
      <c r="DL23" s="4"/>
      <c r="DM23" s="4"/>
      <c r="DN23" s="6"/>
      <c r="DO23" s="6"/>
      <c r="DP23" s="33" t="str">
        <f t="shared" si="32"/>
        <v/>
      </c>
      <c r="DQ23" s="42"/>
      <c r="DR23" s="3"/>
      <c r="DS23" s="37" t="str">
        <f t="shared" si="33"/>
        <v/>
      </c>
      <c r="DT23" s="3"/>
      <c r="DU23" s="3"/>
      <c r="DV23" s="4"/>
      <c r="DW23" s="4"/>
      <c r="DX23" s="6"/>
      <c r="DY23" s="6"/>
      <c r="DZ23" s="33" t="str">
        <f t="shared" si="34"/>
        <v/>
      </c>
      <c r="EA23" s="42"/>
      <c r="EB23" s="3"/>
      <c r="EC23" s="37" t="str">
        <f t="shared" si="35"/>
        <v/>
      </c>
      <c r="ED23" s="3"/>
      <c r="EE23" s="3"/>
      <c r="EF23" s="4"/>
      <c r="EG23" s="4"/>
      <c r="EH23" s="6"/>
      <c r="EI23" s="6"/>
      <c r="EJ23" s="33" t="str">
        <f t="shared" si="36"/>
        <v/>
      </c>
      <c r="EK23" s="42"/>
      <c r="EL23" s="3"/>
      <c r="EM23" s="37" t="str">
        <f t="shared" si="37"/>
        <v/>
      </c>
      <c r="EN23" s="3"/>
      <c r="EO23" s="3"/>
      <c r="EP23" s="4"/>
      <c r="EQ23" s="4"/>
      <c r="ER23" s="6"/>
      <c r="ES23" s="6"/>
      <c r="ET23" s="33" t="str">
        <f t="shared" si="38"/>
        <v/>
      </c>
      <c r="EU23" s="42"/>
      <c r="EV23" s="3"/>
      <c r="EW23" s="37" t="str">
        <f t="shared" si="39"/>
        <v/>
      </c>
      <c r="EX23" s="3"/>
      <c r="EY23" s="3"/>
      <c r="EZ23" s="4"/>
      <c r="FA23" s="4"/>
      <c r="FB23" s="6"/>
      <c r="FC23" s="6"/>
      <c r="FD23" s="33" t="str">
        <f t="shared" si="40"/>
        <v/>
      </c>
      <c r="FE23" s="42"/>
      <c r="FF23" s="3"/>
      <c r="FG23" s="37" t="str">
        <f t="shared" si="41"/>
        <v/>
      </c>
      <c r="FH23" s="3"/>
      <c r="FI23" s="3"/>
    </row>
    <row r="24" spans="2:165" ht="285.95" hidden="1">
      <c r="B24" s="227" t="s">
        <v>1854</v>
      </c>
      <c r="C24" s="92" t="s">
        <v>1775</v>
      </c>
      <c r="D24" s="92" t="s">
        <v>287</v>
      </c>
      <c r="E24" s="387" t="s">
        <v>313</v>
      </c>
      <c r="F24" s="328">
        <v>7</v>
      </c>
      <c r="G24" s="388" t="str">
        <f t="shared" si="0"/>
        <v>×
[P・Q]
×・×</v>
      </c>
      <c r="H24" s="388" t="str">
        <f t="shared" si="1"/>
        <v>×
[P・Q]
○・×</v>
      </c>
      <c r="I24" s="388" t="str">
        <f t="shared" si="2"/>
        <v>○
[P・Q]
○・○</v>
      </c>
      <c r="J24" s="388" t="str">
        <f t="shared" si="3"/>
        <v>×
[P・Q]
○・--</v>
      </c>
      <c r="K24" s="388" t="str">
        <f t="shared" si="4"/>
        <v>×
[P・Q]
○・--</v>
      </c>
      <c r="L24" s="388" t="str">
        <f t="shared" si="5"/>
        <v>×
[P・Q]
○・--</v>
      </c>
      <c r="M24" s="388" t="str">
        <f t="shared" si="6"/>
        <v>×
[P・Q]
○・--</v>
      </c>
      <c r="N24" s="388" t="str">
        <f t="shared" si="7"/>
        <v/>
      </c>
      <c r="O24" s="388" t="str">
        <f t="shared" si="44"/>
        <v/>
      </c>
      <c r="P24" s="388" t="str">
        <f t="shared" si="8"/>
        <v/>
      </c>
      <c r="Q24" s="388" t="str">
        <f t="shared" si="9"/>
        <v/>
      </c>
      <c r="R24" s="388" t="str">
        <f t="shared" si="10"/>
        <v/>
      </c>
      <c r="S24" s="389">
        <f t="shared" si="11"/>
        <v>1</v>
      </c>
      <c r="T24" s="328">
        <v>5</v>
      </c>
      <c r="U24" s="328">
        <v>5</v>
      </c>
      <c r="V24" s="328">
        <v>5</v>
      </c>
      <c r="W24" s="328">
        <v>5</v>
      </c>
      <c r="X24" s="390">
        <f t="shared" si="12"/>
        <v>32.142857142857139</v>
      </c>
      <c r="Y24" s="390">
        <f t="shared" si="13"/>
        <v>5.3571428571428568</v>
      </c>
      <c r="Z24" s="390" cm="1">
        <f t="array" ref="Z24">_xlfn.IFS(S24&gt;=0.8,5,S24&gt;=0.6,3,S24&gt;=0.2,1,S24&lt;0.2,0)</f>
        <v>5</v>
      </c>
      <c r="AA24" s="487">
        <f>SUM(T24:Z24)</f>
        <v>62.499999999999993</v>
      </c>
      <c r="AB24" s="130" t="s">
        <v>1855</v>
      </c>
      <c r="AC24" s="130" t="s">
        <v>1856</v>
      </c>
      <c r="AD24" s="458"/>
      <c r="AE24" s="130"/>
      <c r="AF24" s="458"/>
      <c r="AG24" s="130" t="s">
        <v>1857</v>
      </c>
      <c r="AH24" s="99"/>
      <c r="AI24" s="456">
        <f t="shared" si="14"/>
        <v>0.69733610475545948</v>
      </c>
      <c r="AJ24" s="457">
        <f t="shared" si="15"/>
        <v>8.8501244531669521</v>
      </c>
      <c r="AK24" s="100" t="str">
        <f t="shared" si="16"/>
        <v>HIGH</v>
      </c>
      <c r="AL24" s="100" t="str">
        <f t="shared" si="17"/>
        <v>LOW</v>
      </c>
      <c r="AM24" s="239" t="s">
        <v>1858</v>
      </c>
      <c r="AN24" s="339" t="s">
        <v>1859</v>
      </c>
      <c r="AO24" s="458" t="str">
        <f>IF(AND(AA24&gt;Summary!$C$5, AA24&lt;=Summary!$D$5),Summary!$B$5,IF(AND(AA24&gt;Summary!$C$6, AA24&lt;=Summary!$D$6),Summary!$B$6,IF(AND(AA24&gt;Summary!$C$7, AA24&lt;=Summary!$D$7),Summary!$B$7,Summary!$B$8)))</f>
        <v>○</v>
      </c>
      <c r="AP24" s="458" t="s">
        <v>168</v>
      </c>
      <c r="AQ24" s="458" t="s">
        <v>168</v>
      </c>
      <c r="AR24" s="458" t="s">
        <v>1401</v>
      </c>
      <c r="AS24" s="130" t="s">
        <v>1810</v>
      </c>
      <c r="AT24" s="488"/>
      <c r="AU24" s="328" t="s">
        <v>168</v>
      </c>
      <c r="AV24" s="89">
        <v>10.4</v>
      </c>
      <c r="AW24" s="6">
        <v>20</v>
      </c>
      <c r="AX24" s="33">
        <f t="shared" si="18"/>
        <v>0.52</v>
      </c>
      <c r="AY24" s="42">
        <v>0.13700000000000001</v>
      </c>
      <c r="AZ24" s="3">
        <v>2</v>
      </c>
      <c r="BA24" s="37">
        <f t="shared" ref="BA24:BA39" si="48">IF(AZ24="","",AZ24/AY24)</f>
        <v>14.5985401459854</v>
      </c>
      <c r="BB24" s="3">
        <v>2</v>
      </c>
      <c r="BC24" s="3">
        <v>2</v>
      </c>
      <c r="BD24" s="36"/>
      <c r="BE24" s="4" t="s">
        <v>168</v>
      </c>
      <c r="BF24" s="6">
        <v>10.4</v>
      </c>
      <c r="BG24" s="6">
        <v>16</v>
      </c>
      <c r="BH24" s="33">
        <f t="shared" si="20"/>
        <v>0.65</v>
      </c>
      <c r="BI24" s="42">
        <v>0.20799999999999999</v>
      </c>
      <c r="BJ24" s="3">
        <v>2</v>
      </c>
      <c r="BK24" s="37">
        <f t="shared" si="21"/>
        <v>9.615384615384615</v>
      </c>
      <c r="BL24" s="3">
        <v>2</v>
      </c>
      <c r="BM24" s="3">
        <v>2</v>
      </c>
      <c r="BN24" s="36"/>
      <c r="BO24" s="4" t="s">
        <v>168</v>
      </c>
      <c r="BP24" s="6">
        <v>22.4</v>
      </c>
      <c r="BQ24" s="6">
        <v>27.5</v>
      </c>
      <c r="BR24" s="33">
        <f t="shared" si="22"/>
        <v>0.81454545454545446</v>
      </c>
      <c r="BS24" s="42">
        <v>0.85599999999999998</v>
      </c>
      <c r="BT24" s="3">
        <v>2</v>
      </c>
      <c r="BU24" s="37">
        <f t="shared" si="23"/>
        <v>2.3364485981308412</v>
      </c>
      <c r="BV24" s="3">
        <v>2</v>
      </c>
      <c r="BW24" s="3">
        <v>2</v>
      </c>
      <c r="BX24" s="36"/>
      <c r="BY24" s="4" t="s">
        <v>168</v>
      </c>
      <c r="BZ24" s="6">
        <v>10.4</v>
      </c>
      <c r="CA24" s="6">
        <v>15</v>
      </c>
      <c r="CB24" s="33">
        <f t="shared" si="24"/>
        <v>0.69333333333333336</v>
      </c>
      <c r="CC24" s="42">
        <v>0.153</v>
      </c>
      <c r="CD24" s="3"/>
      <c r="CE24" s="37" t="str">
        <f t="shared" si="25"/>
        <v/>
      </c>
      <c r="CF24" s="3"/>
      <c r="CG24" s="3"/>
      <c r="CH24" s="36"/>
      <c r="CI24" s="4" t="s">
        <v>168</v>
      </c>
      <c r="CJ24" s="6">
        <v>10.4</v>
      </c>
      <c r="CK24" s="6">
        <v>15.5</v>
      </c>
      <c r="CL24" s="33">
        <f t="shared" ref="CL24:CL39" si="49">IF(CK24="","",CJ24/CK24)</f>
        <v>0.67096774193548392</v>
      </c>
      <c r="CM24" s="42">
        <v>0.218</v>
      </c>
      <c r="CN24" s="3"/>
      <c r="CO24" s="37" t="str">
        <f t="shared" si="27"/>
        <v/>
      </c>
      <c r="CP24" s="3"/>
      <c r="CQ24" s="3"/>
      <c r="CR24" s="80"/>
      <c r="CS24" s="4" t="s">
        <v>168</v>
      </c>
      <c r="CT24" s="6">
        <v>22.4</v>
      </c>
      <c r="CU24" s="6">
        <v>26</v>
      </c>
      <c r="CV24" s="33">
        <f t="shared" si="28"/>
        <v>0.86153846153846148</v>
      </c>
      <c r="CW24" s="42">
        <v>0.81599999999999995</v>
      </c>
      <c r="CX24" s="3"/>
      <c r="CY24" s="37" t="str">
        <f t="shared" si="29"/>
        <v/>
      </c>
      <c r="CZ24" s="3"/>
      <c r="DA24" s="3"/>
      <c r="DB24" s="36"/>
      <c r="DC24" s="4" t="s">
        <v>168</v>
      </c>
      <c r="DD24" s="6">
        <v>10.4</v>
      </c>
      <c r="DE24" s="6">
        <v>15.5</v>
      </c>
      <c r="DF24" s="33">
        <f t="shared" si="30"/>
        <v>0.67096774193548392</v>
      </c>
      <c r="DG24" s="42">
        <v>8.3000000000000004E-2</v>
      </c>
      <c r="DH24" s="3"/>
      <c r="DI24" s="37" t="str">
        <f t="shared" si="31"/>
        <v/>
      </c>
      <c r="DJ24" s="3"/>
      <c r="DK24" s="3"/>
      <c r="DL24" s="36"/>
      <c r="DM24" s="4"/>
      <c r="DN24" s="6"/>
      <c r="DO24" s="6"/>
      <c r="DP24" s="33" t="str">
        <f t="shared" si="32"/>
        <v/>
      </c>
      <c r="DQ24" s="42"/>
      <c r="DR24" s="3"/>
      <c r="DS24" s="37" t="str">
        <f t="shared" si="33"/>
        <v/>
      </c>
      <c r="DT24" s="3"/>
      <c r="DU24" s="3"/>
      <c r="DV24" s="4"/>
      <c r="DW24" s="4"/>
      <c r="DX24" s="6"/>
      <c r="DY24" s="6"/>
      <c r="DZ24" s="33" t="str">
        <f t="shared" si="34"/>
        <v/>
      </c>
      <c r="EA24" s="42"/>
      <c r="EB24" s="3"/>
      <c r="EC24" s="37" t="str">
        <f t="shared" si="35"/>
        <v/>
      </c>
      <c r="ED24" s="3"/>
      <c r="EE24" s="3"/>
      <c r="EF24" s="4"/>
      <c r="EG24" s="4"/>
      <c r="EH24" s="6"/>
      <c r="EI24" s="6"/>
      <c r="EJ24" s="33" t="str">
        <f t="shared" si="36"/>
        <v/>
      </c>
      <c r="EK24" s="42"/>
      <c r="EL24" s="3"/>
      <c r="EM24" s="37" t="str">
        <f t="shared" si="37"/>
        <v/>
      </c>
      <c r="EN24" s="3"/>
      <c r="EO24" s="3"/>
      <c r="EP24" s="4"/>
      <c r="EQ24" s="4"/>
      <c r="ER24" s="6"/>
      <c r="ES24" s="6"/>
      <c r="ET24" s="33" t="str">
        <f t="shared" si="38"/>
        <v/>
      </c>
      <c r="EU24" s="42"/>
      <c r="EV24" s="3"/>
      <c r="EW24" s="37" t="str">
        <f t="shared" si="39"/>
        <v/>
      </c>
      <c r="EX24" s="3"/>
      <c r="EY24" s="3"/>
      <c r="EZ24" s="4"/>
      <c r="FA24" s="4"/>
      <c r="FB24" s="6"/>
      <c r="FC24" s="6"/>
      <c r="FD24" s="33" t="str">
        <f t="shared" si="40"/>
        <v/>
      </c>
      <c r="FE24" s="42"/>
      <c r="FF24" s="3"/>
      <c r="FG24" s="37" t="str">
        <f t="shared" si="41"/>
        <v/>
      </c>
      <c r="FH24" s="3"/>
      <c r="FI24" s="3"/>
    </row>
    <row r="25" spans="2:165" ht="285.95" hidden="1">
      <c r="B25" s="3" t="s">
        <v>1860</v>
      </c>
      <c r="C25" s="3" t="s">
        <v>1775</v>
      </c>
      <c r="D25" s="3" t="s">
        <v>287</v>
      </c>
      <c r="E25" s="28" t="s">
        <v>313</v>
      </c>
      <c r="F25" s="4">
        <v>5</v>
      </c>
      <c r="G25" s="123" t="str">
        <f t="shared" si="0"/>
        <v>×
[P・Q]
×・×</v>
      </c>
      <c r="H25" s="123" t="str">
        <f t="shared" si="1"/>
        <v>×
[P・Q]
○・×</v>
      </c>
      <c r="I25" s="123" t="str">
        <f t="shared" si="2"/>
        <v>×
[P・Q]
○・×</v>
      </c>
      <c r="J25" s="123" t="str">
        <f t="shared" si="3"/>
        <v>×
[P・Q]
○・--</v>
      </c>
      <c r="K25" s="123" t="str">
        <f t="shared" si="4"/>
        <v>×
[P・Q]
○・--</v>
      </c>
      <c r="L25" s="123" t="str">
        <f t="shared" si="5"/>
        <v/>
      </c>
      <c r="M25" s="123" t="str">
        <f t="shared" si="6"/>
        <v/>
      </c>
      <c r="N25" s="123" t="str">
        <f t="shared" si="7"/>
        <v/>
      </c>
      <c r="O25" s="123" t="str">
        <f t="shared" si="44"/>
        <v/>
      </c>
      <c r="P25" s="123" t="str">
        <f t="shared" si="8"/>
        <v/>
      </c>
      <c r="Q25" s="123" t="str">
        <f t="shared" si="9"/>
        <v/>
      </c>
      <c r="R25" s="123" t="str">
        <f t="shared" si="10"/>
        <v/>
      </c>
      <c r="S25" s="76">
        <f t="shared" si="11"/>
        <v>1</v>
      </c>
      <c r="T25" s="4">
        <v>5</v>
      </c>
      <c r="U25" s="4">
        <v>5</v>
      </c>
      <c r="V25" s="4">
        <v>5</v>
      </c>
      <c r="W25" s="4">
        <v>5</v>
      </c>
      <c r="X25" s="77">
        <f t="shared" si="12"/>
        <v>30</v>
      </c>
      <c r="Y25" s="77">
        <f t="shared" si="13"/>
        <v>0</v>
      </c>
      <c r="Z25" s="77" cm="1">
        <f t="array" ref="Z25">_xlfn.IFS(S25&gt;=0.8,5,S25&gt;=0.6,3,S25&gt;=0.2,1,S25&lt;0.2,0)</f>
        <v>5</v>
      </c>
      <c r="AA25" s="55">
        <f>SUM(T25:Z25)</f>
        <v>55</v>
      </c>
      <c r="AB25" s="220" t="s">
        <v>1861</v>
      </c>
      <c r="AC25" s="130" t="s">
        <v>1856</v>
      </c>
      <c r="AD25" s="100"/>
      <c r="AE25" s="130"/>
      <c r="AF25" s="130"/>
      <c r="AG25" s="130" t="s">
        <v>1862</v>
      </c>
      <c r="AH25" s="142"/>
      <c r="AI25" s="456">
        <f t="shared" si="14"/>
        <v>0.72714285714285709</v>
      </c>
      <c r="AJ25" s="457">
        <f t="shared" si="15"/>
        <v>38.333333333333336</v>
      </c>
      <c r="AK25" s="100" t="str">
        <f t="shared" si="16"/>
        <v>HIGH</v>
      </c>
      <c r="AL25" s="100" t="str">
        <f t="shared" si="17"/>
        <v>LOW</v>
      </c>
      <c r="AM25" s="239" t="s">
        <v>1858</v>
      </c>
      <c r="AN25" s="339" t="s">
        <v>1863</v>
      </c>
      <c r="AO25" s="458" t="str">
        <f>IF(AND(AA25&gt;Summary!$C$5, AA25&lt;=Summary!$D$5),Summary!$B$5,IF(AND(AA25&gt;Summary!$C$6, AA25&lt;=Summary!$D$6),Summary!$B$6,IF(AND(AA25&gt;Summary!$C$7, AA25&lt;=Summary!$D$7),Summary!$B$7,Summary!$B$8)))</f>
        <v>○</v>
      </c>
      <c r="AP25" s="151" t="s">
        <v>168</v>
      </c>
      <c r="AQ25" s="151" t="s">
        <v>168</v>
      </c>
      <c r="AR25" s="151" t="s">
        <v>1401</v>
      </c>
      <c r="AS25" s="130" t="s">
        <v>1810</v>
      </c>
      <c r="AT25" s="36"/>
      <c r="AU25" s="4" t="s">
        <v>168</v>
      </c>
      <c r="AV25" s="6">
        <v>13.6</v>
      </c>
      <c r="AW25" s="6">
        <v>24</v>
      </c>
      <c r="AX25" s="33">
        <f t="shared" si="18"/>
        <v>0.56666666666666665</v>
      </c>
      <c r="AY25" s="42">
        <v>0.12</v>
      </c>
      <c r="AZ25" s="3">
        <v>5</v>
      </c>
      <c r="BA25" s="37">
        <f t="shared" si="48"/>
        <v>41.666666666666671</v>
      </c>
      <c r="BB25" s="3">
        <v>5</v>
      </c>
      <c r="BC25" s="3">
        <v>5</v>
      </c>
      <c r="BD25" s="36"/>
      <c r="BE25" s="4" t="s">
        <v>168</v>
      </c>
      <c r="BF25" s="6">
        <v>19.2</v>
      </c>
      <c r="BG25" s="6">
        <v>28</v>
      </c>
      <c r="BH25" s="33">
        <f t="shared" si="20"/>
        <v>0.68571428571428572</v>
      </c>
      <c r="BI25" s="42">
        <v>0.15</v>
      </c>
      <c r="BJ25" s="3">
        <v>4</v>
      </c>
      <c r="BK25" s="37">
        <f t="shared" si="21"/>
        <v>26.666666666666668</v>
      </c>
      <c r="BL25" s="3">
        <v>4</v>
      </c>
      <c r="BM25" s="3">
        <v>4</v>
      </c>
      <c r="BN25" s="36"/>
      <c r="BO25" s="4" t="s">
        <v>168</v>
      </c>
      <c r="BP25" s="6">
        <v>10.4</v>
      </c>
      <c r="BQ25" s="6">
        <v>16</v>
      </c>
      <c r="BR25" s="33">
        <f t="shared" si="22"/>
        <v>0.65</v>
      </c>
      <c r="BS25" s="42">
        <v>0.15</v>
      </c>
      <c r="BT25" s="3">
        <v>7</v>
      </c>
      <c r="BU25" s="37">
        <f t="shared" si="23"/>
        <v>46.666666666666671</v>
      </c>
      <c r="BV25" s="3">
        <v>7</v>
      </c>
      <c r="BW25" s="3">
        <v>7</v>
      </c>
      <c r="BX25" s="36"/>
      <c r="BY25" s="4" t="s">
        <v>168</v>
      </c>
      <c r="BZ25" s="6">
        <v>16</v>
      </c>
      <c r="CA25" s="6">
        <v>20</v>
      </c>
      <c r="CB25" s="33">
        <f t="shared" si="24"/>
        <v>0.8</v>
      </c>
      <c r="CC25" s="42">
        <v>0.39700000000000002</v>
      </c>
      <c r="CD25" s="3"/>
      <c r="CE25" s="37" t="str">
        <f t="shared" si="25"/>
        <v/>
      </c>
      <c r="CF25" s="3"/>
      <c r="CG25" s="3"/>
      <c r="CH25" s="36"/>
      <c r="CI25" s="4" t="s">
        <v>168</v>
      </c>
      <c r="CJ25" s="6">
        <v>22.4</v>
      </c>
      <c r="CK25" s="6">
        <v>24</v>
      </c>
      <c r="CL25" s="33">
        <f t="shared" si="49"/>
        <v>0.93333333333333324</v>
      </c>
      <c r="CM25" s="42">
        <v>0.58299999999999996</v>
      </c>
      <c r="CN25" s="3"/>
      <c r="CO25" s="37" t="str">
        <f t="shared" si="27"/>
        <v/>
      </c>
      <c r="CP25" s="3"/>
      <c r="CQ25" s="3"/>
      <c r="CR25" s="4"/>
      <c r="CS25" s="4"/>
      <c r="CT25" s="6"/>
      <c r="CU25" s="6"/>
      <c r="CV25" s="33" t="str">
        <f t="shared" si="28"/>
        <v/>
      </c>
      <c r="CW25" s="42"/>
      <c r="CX25" s="3"/>
      <c r="CY25" s="37" t="str">
        <f t="shared" si="29"/>
        <v/>
      </c>
      <c r="CZ25" s="3"/>
      <c r="DA25" s="3"/>
      <c r="DB25" s="4"/>
      <c r="DC25" s="4"/>
      <c r="DD25" s="6"/>
      <c r="DE25" s="6"/>
      <c r="DF25" s="33" t="str">
        <f t="shared" si="30"/>
        <v/>
      </c>
      <c r="DG25" s="42"/>
      <c r="DH25" s="3"/>
      <c r="DI25" s="37" t="str">
        <f t="shared" si="31"/>
        <v/>
      </c>
      <c r="DJ25" s="3"/>
      <c r="DK25" s="3"/>
      <c r="DL25" s="4"/>
      <c r="DM25" s="4"/>
      <c r="DN25" s="6"/>
      <c r="DO25" s="6"/>
      <c r="DP25" s="33" t="str">
        <f t="shared" si="32"/>
        <v/>
      </c>
      <c r="DQ25" s="42"/>
      <c r="DR25" s="3"/>
      <c r="DS25" s="37" t="str">
        <f t="shared" si="33"/>
        <v/>
      </c>
      <c r="DT25" s="3"/>
      <c r="DU25" s="3"/>
      <c r="DV25" s="4"/>
      <c r="DW25" s="4"/>
      <c r="DX25" s="6"/>
      <c r="DY25" s="6"/>
      <c r="DZ25" s="33" t="str">
        <f t="shared" si="34"/>
        <v/>
      </c>
      <c r="EA25" s="42"/>
      <c r="EB25" s="3"/>
      <c r="EC25" s="37" t="str">
        <f t="shared" si="35"/>
        <v/>
      </c>
      <c r="ED25" s="3"/>
      <c r="EE25" s="3"/>
      <c r="EF25" s="4"/>
      <c r="EG25" s="4"/>
      <c r="EH25" s="6"/>
      <c r="EI25" s="6"/>
      <c r="EJ25" s="33" t="str">
        <f t="shared" si="36"/>
        <v/>
      </c>
      <c r="EK25" s="42"/>
      <c r="EL25" s="3"/>
      <c r="EM25" s="37" t="str">
        <f t="shared" si="37"/>
        <v/>
      </c>
      <c r="EN25" s="3"/>
      <c r="EO25" s="3"/>
      <c r="EP25" s="4"/>
      <c r="EQ25" s="4"/>
      <c r="ER25" s="6"/>
      <c r="ES25" s="6"/>
      <c r="ET25" s="33" t="str">
        <f t="shared" si="38"/>
        <v/>
      </c>
      <c r="EU25" s="42"/>
      <c r="EV25" s="3"/>
      <c r="EW25" s="37" t="str">
        <f t="shared" si="39"/>
        <v/>
      </c>
      <c r="EX25" s="3"/>
      <c r="EY25" s="3"/>
      <c r="EZ25" s="4"/>
      <c r="FA25" s="4"/>
      <c r="FB25" s="6"/>
      <c r="FC25" s="6"/>
      <c r="FD25" s="33" t="str">
        <f t="shared" si="40"/>
        <v/>
      </c>
      <c r="FE25" s="42"/>
      <c r="FF25" s="3"/>
      <c r="FG25" s="37" t="str">
        <f t="shared" si="41"/>
        <v/>
      </c>
      <c r="FH25" s="3"/>
      <c r="FI25" s="3"/>
    </row>
    <row r="26" spans="2:165" ht="15" hidden="1">
      <c r="B26" s="92"/>
      <c r="C26" s="3"/>
      <c r="D26" s="3"/>
      <c r="E26" s="28"/>
      <c r="F26" s="4"/>
      <c r="G26" s="123" t="str">
        <f t="shared" si="0"/>
        <v/>
      </c>
      <c r="H26" s="123" t="str">
        <f t="shared" si="1"/>
        <v/>
      </c>
      <c r="I26" s="123" t="str">
        <f t="shared" si="2"/>
        <v/>
      </c>
      <c r="J26" s="123" t="str">
        <f t="shared" si="3"/>
        <v/>
      </c>
      <c r="K26" s="123" t="str">
        <f t="shared" si="4"/>
        <v/>
      </c>
      <c r="L26" s="123" t="str">
        <f t="shared" si="5"/>
        <v/>
      </c>
      <c r="M26" s="123" t="str">
        <f t="shared" si="6"/>
        <v/>
      </c>
      <c r="N26" s="123" t="str">
        <f t="shared" si="7"/>
        <v/>
      </c>
      <c r="O26" s="123" t="str">
        <f t="shared" si="44"/>
        <v/>
      </c>
      <c r="P26" s="123" t="str">
        <f t="shared" si="8"/>
        <v/>
      </c>
      <c r="Q26" s="123" t="str">
        <f t="shared" si="9"/>
        <v/>
      </c>
      <c r="R26" s="123" t="str">
        <f t="shared" si="10"/>
        <v/>
      </c>
      <c r="S26" s="76" t="e">
        <f t="shared" si="11"/>
        <v>#DIV/0!</v>
      </c>
      <c r="T26" s="4"/>
      <c r="U26" s="4"/>
      <c r="V26" s="4"/>
      <c r="W26" s="4"/>
      <c r="X26" s="77" t="e">
        <f t="shared" si="12"/>
        <v>#DIV/0!</v>
      </c>
      <c r="Y26" s="77" t="e">
        <f t="shared" si="13"/>
        <v>#DIV/0!</v>
      </c>
      <c r="Z26" s="75" t="e" cm="1">
        <f t="array" ref="Z26">_xlfn.IFS(S26&gt;=0.8,5,S26&gt;=0.6,3,S26&gt;=0.2,1,S26&lt;0.2,0)</f>
        <v>#DIV/0!</v>
      </c>
      <c r="AA26" s="55" t="e">
        <f>SUM(T26:Z26)</f>
        <v>#DIV/0!</v>
      </c>
      <c r="AB26" s="130"/>
      <c r="AC26" s="221"/>
      <c r="AD26" s="191"/>
      <c r="AE26" s="5"/>
      <c r="AF26" s="242"/>
      <c r="AG26" s="221"/>
      <c r="AH26" s="5"/>
      <c r="AI26" s="205" t="str">
        <f t="shared" si="14"/>
        <v xml:space="preserve"> </v>
      </c>
      <c r="AJ26" s="206" t="str">
        <f t="shared" si="15"/>
        <v xml:space="preserve"> </v>
      </c>
      <c r="AK26" s="280"/>
      <c r="AL26" s="280"/>
      <c r="AM26" s="280"/>
      <c r="AN26" s="339"/>
      <c r="AO26" s="126" t="e">
        <f>IF(AND(AA26&gt;Summary!$C$5, AA26&lt;=Summary!$D$5),Summary!$B$5,IF(AND(AA26&gt;Summary!$C$6, AA26&lt;=Summary!$D$6),Summary!$B$6,IF(AND(AA26&gt;Summary!$C$7, AA26&lt;=Summary!$D$7),Summary!$B$7,Summary!$B$8)))</f>
        <v>#DIV/0!</v>
      </c>
      <c r="AP26" s="14"/>
      <c r="AQ26" s="14"/>
      <c r="AR26" s="14"/>
      <c r="AS26" s="29"/>
      <c r="AT26" s="36"/>
      <c r="AU26" s="4"/>
      <c r="AV26" s="6"/>
      <c r="AW26" s="6"/>
      <c r="AX26" s="33" t="str">
        <f t="shared" si="18"/>
        <v/>
      </c>
      <c r="AY26" s="42"/>
      <c r="AZ26" s="3"/>
      <c r="BA26" s="37" t="str">
        <f t="shared" si="48"/>
        <v/>
      </c>
      <c r="BB26" s="3"/>
      <c r="BC26" s="3"/>
      <c r="BD26" s="36"/>
      <c r="BE26" s="4"/>
      <c r="BF26" s="6"/>
      <c r="BG26" s="6"/>
      <c r="BH26" s="33" t="str">
        <f t="shared" si="20"/>
        <v/>
      </c>
      <c r="BI26" s="42"/>
      <c r="BJ26" s="3"/>
      <c r="BK26" s="37" t="str">
        <f t="shared" si="21"/>
        <v/>
      </c>
      <c r="BL26" s="3"/>
      <c r="BM26" s="3"/>
      <c r="BN26" s="36"/>
      <c r="BO26" s="4"/>
      <c r="BP26" s="6"/>
      <c r="BQ26" s="6"/>
      <c r="BR26" s="33" t="str">
        <f t="shared" si="22"/>
        <v/>
      </c>
      <c r="BS26" s="42"/>
      <c r="BT26" s="3"/>
      <c r="BU26" s="37" t="str">
        <f t="shared" si="23"/>
        <v/>
      </c>
      <c r="BV26" s="3"/>
      <c r="BW26" s="3"/>
      <c r="BX26" s="36"/>
      <c r="BY26" s="4"/>
      <c r="BZ26" s="6"/>
      <c r="CA26" s="6"/>
      <c r="CB26" s="33" t="str">
        <f t="shared" si="24"/>
        <v/>
      </c>
      <c r="CC26" s="42"/>
      <c r="CD26" s="3"/>
      <c r="CE26" s="37" t="str">
        <f t="shared" si="25"/>
        <v/>
      </c>
      <c r="CF26" s="3"/>
      <c r="CG26" s="3"/>
      <c r="CH26" s="36"/>
      <c r="CI26" s="4"/>
      <c r="CJ26" s="6"/>
      <c r="CK26" s="6"/>
      <c r="CL26" s="33" t="str">
        <f t="shared" si="49"/>
        <v/>
      </c>
      <c r="CM26" s="42"/>
      <c r="CN26" s="3"/>
      <c r="CO26" s="37" t="str">
        <f t="shared" si="27"/>
        <v/>
      </c>
      <c r="CP26" s="3"/>
      <c r="CQ26" s="3"/>
      <c r="CR26" s="80"/>
      <c r="CS26" s="4"/>
      <c r="CT26" s="6"/>
      <c r="CU26" s="6"/>
      <c r="CV26" s="33" t="str">
        <f t="shared" si="28"/>
        <v/>
      </c>
      <c r="CW26" s="42"/>
      <c r="CX26" s="3"/>
      <c r="CY26" s="37" t="str">
        <f t="shared" si="29"/>
        <v/>
      </c>
      <c r="CZ26" s="3"/>
      <c r="DA26" s="3"/>
      <c r="DB26" s="36"/>
      <c r="DC26" s="4"/>
      <c r="DD26" s="6"/>
      <c r="DE26" s="6"/>
      <c r="DF26" s="33" t="str">
        <f t="shared" si="30"/>
        <v/>
      </c>
      <c r="DG26" s="42"/>
      <c r="DH26" s="3"/>
      <c r="DI26" s="37" t="str">
        <f t="shared" si="31"/>
        <v/>
      </c>
      <c r="DJ26" s="3"/>
      <c r="DK26" s="3"/>
      <c r="DL26" s="4"/>
      <c r="DM26" s="4"/>
      <c r="DN26" s="6"/>
      <c r="DO26" s="6"/>
      <c r="DP26" s="33" t="str">
        <f t="shared" si="32"/>
        <v/>
      </c>
      <c r="DQ26" s="42"/>
      <c r="DR26" s="3"/>
      <c r="DS26" s="37" t="str">
        <f t="shared" si="33"/>
        <v/>
      </c>
      <c r="DT26" s="3"/>
      <c r="DU26" s="3"/>
      <c r="DV26" s="4"/>
      <c r="DW26" s="4"/>
      <c r="DX26" s="6"/>
      <c r="DY26" s="6"/>
      <c r="DZ26" s="33" t="str">
        <f t="shared" si="34"/>
        <v/>
      </c>
      <c r="EA26" s="42"/>
      <c r="EB26" s="3"/>
      <c r="EC26" s="37" t="str">
        <f t="shared" si="35"/>
        <v/>
      </c>
      <c r="ED26" s="3"/>
      <c r="EE26" s="3"/>
      <c r="EF26" s="4"/>
      <c r="EG26" s="4"/>
      <c r="EH26" s="6"/>
      <c r="EI26" s="6"/>
      <c r="EJ26" s="33" t="str">
        <f t="shared" si="36"/>
        <v/>
      </c>
      <c r="EK26" s="42"/>
      <c r="EL26" s="3"/>
      <c r="EM26" s="37" t="str">
        <f t="shared" si="37"/>
        <v/>
      </c>
      <c r="EN26" s="3"/>
      <c r="EO26" s="3"/>
      <c r="EP26" s="4"/>
      <c r="EQ26" s="4"/>
      <c r="ER26" s="6"/>
      <c r="ES26" s="6"/>
      <c r="ET26" s="33" t="str">
        <f t="shared" si="38"/>
        <v/>
      </c>
      <c r="EU26" s="42"/>
      <c r="EV26" s="3"/>
      <c r="EW26" s="37" t="str">
        <f t="shared" si="39"/>
        <v/>
      </c>
      <c r="EX26" s="3"/>
      <c r="EY26" s="3"/>
      <c r="EZ26" s="4"/>
      <c r="FA26" s="4"/>
      <c r="FB26" s="6"/>
      <c r="FC26" s="6"/>
      <c r="FD26" s="33" t="str">
        <f t="shared" si="40"/>
        <v/>
      </c>
      <c r="FE26" s="42"/>
      <c r="FF26" s="3"/>
      <c r="FG26" s="37" t="str">
        <f t="shared" si="41"/>
        <v/>
      </c>
      <c r="FH26" s="3"/>
      <c r="FI26" s="3"/>
    </row>
    <row r="27" spans="2:165" ht="285.95" hidden="1">
      <c r="B27" s="27" t="s">
        <v>1864</v>
      </c>
      <c r="C27" s="3" t="s">
        <v>1865</v>
      </c>
      <c r="D27" s="3" t="s">
        <v>300</v>
      </c>
      <c r="E27" s="28" t="s">
        <v>313</v>
      </c>
      <c r="F27" s="4">
        <v>4</v>
      </c>
      <c r="G27" s="123" t="str">
        <f t="shared" si="0"/>
        <v>×
[P・Q]
○・--</v>
      </c>
      <c r="H27" s="123" t="str">
        <f t="shared" si="1"/>
        <v>×
[P・Q]
○・--</v>
      </c>
      <c r="I27" s="123" t="str">
        <f t="shared" si="2"/>
        <v>×
[P・Q]
○・--</v>
      </c>
      <c r="J27" s="123" t="str">
        <f t="shared" si="3"/>
        <v>×
[P・Q]
○・--</v>
      </c>
      <c r="K27" s="123" t="str">
        <f t="shared" si="4"/>
        <v/>
      </c>
      <c r="L27" s="123" t="str">
        <f t="shared" si="5"/>
        <v/>
      </c>
      <c r="M27" s="123" t="str">
        <f t="shared" si="6"/>
        <v/>
      </c>
      <c r="N27" s="123" t="str">
        <f t="shared" si="7"/>
        <v/>
      </c>
      <c r="O27" s="123" t="str">
        <f t="shared" si="44"/>
        <v/>
      </c>
      <c r="P27" s="123" t="str">
        <f t="shared" si="8"/>
        <v/>
      </c>
      <c r="Q27" s="123" t="str">
        <f t="shared" si="9"/>
        <v/>
      </c>
      <c r="R27" s="123" t="str">
        <f t="shared" si="10"/>
        <v/>
      </c>
      <c r="S27" s="76">
        <f t="shared" si="11"/>
        <v>0.75</v>
      </c>
      <c r="T27" s="4">
        <v>5</v>
      </c>
      <c r="U27" s="4">
        <v>5</v>
      </c>
      <c r="V27" s="4">
        <v>5</v>
      </c>
      <c r="W27" s="4">
        <v>5</v>
      </c>
      <c r="X27" s="77">
        <f t="shared" si="12"/>
        <v>37.5</v>
      </c>
      <c r="Y27" s="77">
        <f t="shared" si="13"/>
        <v>0</v>
      </c>
      <c r="Z27" s="77" cm="1">
        <f t="array" ref="Z27">_xlfn.IFS(S27&gt;=0.8,5,S27&gt;=0.6,3,S27&gt;=0.2,1,S27&lt;0.2,0)</f>
        <v>3</v>
      </c>
      <c r="AA27" s="55">
        <f t="shared" ref="AA27:AA39" si="50">SUM(T27:Z27)</f>
        <v>60.5</v>
      </c>
      <c r="AB27" s="220"/>
      <c r="AC27" s="364" t="s">
        <v>1866</v>
      </c>
      <c r="AD27" s="80"/>
      <c r="AE27" s="130"/>
      <c r="AF27" s="5"/>
      <c r="AG27" s="5" t="s">
        <v>1867</v>
      </c>
      <c r="AH27" s="142"/>
      <c r="AI27" s="205">
        <f t="shared" si="14"/>
        <v>0.71810664112388256</v>
      </c>
      <c r="AJ27" s="206" t="str">
        <f t="shared" si="15"/>
        <v xml:space="preserve"> </v>
      </c>
      <c r="AK27" s="80" t="str">
        <f t="shared" si="16"/>
        <v>HIGH</v>
      </c>
      <c r="AL27" s="80" t="str">
        <f t="shared" si="17"/>
        <v>LOW</v>
      </c>
      <c r="AM27" s="445" t="s">
        <v>1868</v>
      </c>
      <c r="AN27" s="446" t="s">
        <v>1869</v>
      </c>
      <c r="AO27" s="126" t="str">
        <f>IF(AND(AA27&gt;Summary!$C$5, AA27&lt;=Summary!$D$5),Summary!$B$5,IF(AND(AA27&gt;Summary!$C$6, AA27&lt;=Summary!$D$6),Summary!$B$6,IF(AND(AA27&gt;Summary!$C$7, AA27&lt;=Summary!$D$7),Summary!$B$7,Summary!$B$8)))</f>
        <v>○</v>
      </c>
      <c r="AP27" s="14" t="s">
        <v>168</v>
      </c>
      <c r="AQ27" s="14" t="s">
        <v>168</v>
      </c>
      <c r="AR27" s="14" t="s">
        <v>1401</v>
      </c>
      <c r="AS27" s="29" t="s">
        <v>1810</v>
      </c>
      <c r="AT27" s="467" t="s">
        <v>1870</v>
      </c>
      <c r="AU27" s="4" t="s">
        <v>168</v>
      </c>
      <c r="AV27" s="6">
        <v>15.2</v>
      </c>
      <c r="AW27" s="6">
        <v>22.5</v>
      </c>
      <c r="AX27" s="33">
        <f t="shared" si="18"/>
        <v>0.67555555555555558</v>
      </c>
      <c r="AY27" s="42">
        <v>0.106</v>
      </c>
      <c r="AZ27" s="3"/>
      <c r="BA27" s="37" t="str">
        <f t="shared" si="48"/>
        <v/>
      </c>
      <c r="BB27" s="3"/>
      <c r="BC27" s="3"/>
      <c r="BD27" s="467" t="s">
        <v>1871</v>
      </c>
      <c r="BE27" s="4" t="s">
        <v>168</v>
      </c>
      <c r="BF27" s="6">
        <v>10.4</v>
      </c>
      <c r="BG27" s="6">
        <v>16</v>
      </c>
      <c r="BH27" s="33">
        <f t="shared" si="20"/>
        <v>0.65</v>
      </c>
      <c r="BI27" s="42">
        <v>0.50700000000000001</v>
      </c>
      <c r="BJ27" s="3"/>
      <c r="BK27" s="37" t="str">
        <f t="shared" si="21"/>
        <v/>
      </c>
      <c r="BL27" s="3"/>
      <c r="BM27" s="3"/>
      <c r="BN27" s="467" t="s">
        <v>1872</v>
      </c>
      <c r="BO27" s="4" t="s">
        <v>168</v>
      </c>
      <c r="BP27" s="6">
        <v>22.4</v>
      </c>
      <c r="BQ27" s="6">
        <v>27</v>
      </c>
      <c r="BR27" s="33">
        <f>IF(BQ27="","",BP27/BQ27)</f>
        <v>0.82962962962962961</v>
      </c>
      <c r="BS27" s="42">
        <v>0.52800000000000002</v>
      </c>
      <c r="BT27" s="3"/>
      <c r="BU27" s="37" t="str">
        <f>IF(BT27="","",BT27/BS27)</f>
        <v/>
      </c>
      <c r="BV27" s="3"/>
      <c r="BW27" s="3"/>
      <c r="BX27" s="36" t="s">
        <v>1873</v>
      </c>
      <c r="BY27" s="4"/>
      <c r="BZ27" s="6">
        <v>10.4</v>
      </c>
      <c r="CA27" s="6">
        <v>14.5</v>
      </c>
      <c r="CB27" s="33">
        <f t="shared" si="24"/>
        <v>0.71724137931034482</v>
      </c>
      <c r="CC27" s="42">
        <v>0.22600000000000001</v>
      </c>
      <c r="CD27" s="3"/>
      <c r="CE27" s="37" t="str">
        <f>IF(CD27="","",CD27/CC27)</f>
        <v/>
      </c>
      <c r="CF27" s="3"/>
      <c r="CG27" s="3"/>
      <c r="CH27" s="36"/>
      <c r="CI27" s="4"/>
      <c r="CJ27" s="6"/>
      <c r="CK27" s="6"/>
      <c r="CL27" s="33" t="str">
        <f t="shared" si="49"/>
        <v/>
      </c>
      <c r="CM27" s="42"/>
      <c r="CN27" s="3"/>
      <c r="CO27" s="37" t="str">
        <f t="shared" si="27"/>
        <v/>
      </c>
      <c r="CP27" s="3"/>
      <c r="CQ27" s="3"/>
      <c r="CR27" s="36"/>
      <c r="CS27" s="4"/>
      <c r="CT27" s="6"/>
      <c r="CU27" s="6"/>
      <c r="CV27" s="33" t="str">
        <f t="shared" si="28"/>
        <v/>
      </c>
      <c r="CW27" s="42"/>
      <c r="CX27" s="3"/>
      <c r="CY27" s="37" t="str">
        <f t="shared" si="29"/>
        <v/>
      </c>
      <c r="CZ27" s="3"/>
      <c r="DA27" s="3"/>
      <c r="DB27" s="36"/>
      <c r="DC27" s="4"/>
      <c r="DD27" s="6"/>
      <c r="DE27" s="6"/>
      <c r="DF27" s="33" t="str">
        <f t="shared" si="30"/>
        <v/>
      </c>
      <c r="DG27" s="42"/>
      <c r="DH27" s="3"/>
      <c r="DI27" s="37" t="str">
        <f t="shared" si="31"/>
        <v/>
      </c>
      <c r="DJ27" s="3"/>
      <c r="DK27" s="3"/>
      <c r="DL27" s="4"/>
      <c r="DM27" s="4"/>
      <c r="DN27" s="6"/>
      <c r="DO27" s="6"/>
      <c r="DP27" s="33" t="str">
        <f t="shared" si="32"/>
        <v/>
      </c>
      <c r="DQ27" s="42"/>
      <c r="DR27" s="3"/>
      <c r="DS27" s="37" t="str">
        <f t="shared" si="33"/>
        <v/>
      </c>
      <c r="DT27" s="3"/>
      <c r="DU27" s="3"/>
      <c r="DV27" s="4"/>
      <c r="DW27" s="4"/>
      <c r="DX27" s="6"/>
      <c r="DY27" s="6"/>
      <c r="DZ27" s="33" t="str">
        <f t="shared" si="34"/>
        <v/>
      </c>
      <c r="EA27" s="42"/>
      <c r="EB27" s="3"/>
      <c r="EC27" s="37" t="str">
        <f t="shared" si="35"/>
        <v/>
      </c>
      <c r="ED27" s="3"/>
      <c r="EE27" s="3"/>
      <c r="EF27" s="4"/>
      <c r="EG27" s="4"/>
      <c r="EH27" s="6"/>
      <c r="EI27" s="6"/>
      <c r="EJ27" s="33" t="str">
        <f t="shared" si="36"/>
        <v/>
      </c>
      <c r="EK27" s="42"/>
      <c r="EL27" s="3"/>
      <c r="EM27" s="37" t="str">
        <f t="shared" si="37"/>
        <v/>
      </c>
      <c r="EN27" s="3"/>
      <c r="EO27" s="3"/>
      <c r="EP27" s="4"/>
      <c r="EQ27" s="4"/>
      <c r="ER27" s="6"/>
      <c r="ES27" s="6"/>
      <c r="ET27" s="33" t="str">
        <f t="shared" si="38"/>
        <v/>
      </c>
      <c r="EU27" s="42"/>
      <c r="EV27" s="3"/>
      <c r="EW27" s="37" t="str">
        <f t="shared" si="39"/>
        <v/>
      </c>
      <c r="EX27" s="3"/>
      <c r="EY27" s="3"/>
      <c r="EZ27" s="4"/>
      <c r="FA27" s="4"/>
      <c r="FB27" s="6"/>
      <c r="FC27" s="6"/>
      <c r="FD27" s="33" t="str">
        <f t="shared" si="40"/>
        <v/>
      </c>
      <c r="FE27" s="42"/>
      <c r="FF27" s="3"/>
      <c r="FG27" s="37" t="str">
        <f t="shared" si="41"/>
        <v/>
      </c>
      <c r="FH27" s="3"/>
      <c r="FI27" s="3"/>
    </row>
    <row r="28" spans="2:165" ht="285.95">
      <c r="B28" s="224" t="s">
        <v>1874</v>
      </c>
      <c r="C28" s="3" t="s">
        <v>1865</v>
      </c>
      <c r="D28" s="3" t="s">
        <v>223</v>
      </c>
      <c r="E28" s="28" t="s">
        <v>313</v>
      </c>
      <c r="F28" s="4">
        <v>5</v>
      </c>
      <c r="G28" s="123" t="str">
        <f t="shared" si="0"/>
        <v>○
[P・Q]
○・○</v>
      </c>
      <c r="H28" s="123" t="str">
        <f t="shared" si="1"/>
        <v>○
[P・Q]
○・○</v>
      </c>
      <c r="I28" s="123" t="str">
        <f t="shared" si="2"/>
        <v>×
[P・Q]
○・--</v>
      </c>
      <c r="J28" s="123" t="str">
        <f t="shared" si="3"/>
        <v>×
[P・Q]
○・--</v>
      </c>
      <c r="K28" s="123" t="str">
        <f t="shared" si="4"/>
        <v>×
[P・Q]
○・--</v>
      </c>
      <c r="L28" s="123" t="str">
        <f t="shared" si="5"/>
        <v/>
      </c>
      <c r="M28" s="123" t="str">
        <f t="shared" si="6"/>
        <v/>
      </c>
      <c r="N28" s="123" t="str">
        <f t="shared" si="7"/>
        <v/>
      </c>
      <c r="O28" s="123" t="str">
        <f t="shared" si="44"/>
        <v/>
      </c>
      <c r="P28" s="123" t="str">
        <f t="shared" si="8"/>
        <v/>
      </c>
      <c r="Q28" s="123" t="str">
        <f t="shared" si="9"/>
        <v/>
      </c>
      <c r="R28" s="123" t="str">
        <f t="shared" si="10"/>
        <v/>
      </c>
      <c r="S28" s="76">
        <f t="shared" si="11"/>
        <v>0.8</v>
      </c>
      <c r="T28" s="4">
        <v>5</v>
      </c>
      <c r="U28" s="4">
        <v>5</v>
      </c>
      <c r="V28" s="4">
        <v>5</v>
      </c>
      <c r="W28" s="4">
        <v>5</v>
      </c>
      <c r="X28" s="77">
        <f t="shared" si="12"/>
        <v>37.5</v>
      </c>
      <c r="Y28" s="77">
        <f t="shared" si="13"/>
        <v>15</v>
      </c>
      <c r="Z28" s="77" cm="1">
        <f t="array" ref="Z28">_xlfn.IFS(S28&gt;=0.8,5,S28&gt;=0.6,3,S28&gt;=0.2,1,S28&lt;0.2,0)</f>
        <v>5</v>
      </c>
      <c r="AA28" s="55">
        <f t="shared" ref="AA28:AA33" si="51">SUM(T28:Z28)</f>
        <v>77.5</v>
      </c>
      <c r="AB28" s="449"/>
      <c r="AC28" s="129" t="s">
        <v>1875</v>
      </c>
      <c r="AD28" s="83"/>
      <c r="AE28" s="221"/>
      <c r="AF28" s="129"/>
      <c r="AG28" s="129" t="s">
        <v>1876</v>
      </c>
      <c r="AH28" s="142"/>
      <c r="AI28" s="450">
        <f t="shared" ref="AI28:AI33" si="52">IFERROR(AVERAGE(AX28,BH28,BR28,CB28,CL28,CV28,DF28,DP28,DZ28,EJ28)," ")</f>
        <v>0.7657149159084643</v>
      </c>
      <c r="AJ28" s="451">
        <f t="shared" ref="AJ28:AJ33" si="53">IFERROR(AVERAGE(BA28,BK28,BU28,CE28,CO28,CY28,DI28,DS28,EC28,EM28)," ")</f>
        <v>5.6542294914387945</v>
      </c>
      <c r="AK28" s="83" t="str">
        <f t="shared" ref="AK28:AK33" si="54">IFERROR(IF(AI28&gt;=0.6,"HIGH","LOW"),"")</f>
        <v>HIGH</v>
      </c>
      <c r="AL28" s="83" t="str">
        <f t="shared" ref="AL28:AL33" si="55">IFERROR(IF(AJ28&lt;=8,"HIGH","LOW"),"")</f>
        <v>HIGH</v>
      </c>
      <c r="AM28" s="99" t="s">
        <v>1877</v>
      </c>
      <c r="AN28" s="455" t="s">
        <v>1878</v>
      </c>
      <c r="AO28" s="453" t="str">
        <f>IF(AND(AA28&gt;Summary!$C$5, AA28&lt;=Summary!$D$5),Summary!$B$5,IF(AND(AA28&gt;Summary!$C$6, AA28&lt;=Summary!$D$6),Summary!$B$6,IF(AND(AA28&gt;Summary!$C$7, AA28&lt;=Summary!$D$7),Summary!$B$7,Summary!$B$8)))</f>
        <v>◎</v>
      </c>
      <c r="AP28" s="150" t="s">
        <v>168</v>
      </c>
      <c r="AQ28" s="150" t="s">
        <v>168</v>
      </c>
      <c r="AR28" s="150" t="s">
        <v>1401</v>
      </c>
      <c r="AS28" s="353" t="s">
        <v>1803</v>
      </c>
      <c r="AT28" s="36" t="s">
        <v>1879</v>
      </c>
      <c r="AU28" s="4" t="s">
        <v>168</v>
      </c>
      <c r="AV28" s="6">
        <v>15.2</v>
      </c>
      <c r="AW28" s="6">
        <v>22.5</v>
      </c>
      <c r="AX28" s="33">
        <f t="shared" ref="AX28:AX33" si="56">IF(AW28="","",AV28/AW28)</f>
        <v>0.67555555555555558</v>
      </c>
      <c r="AY28" s="42">
        <v>0.17199999999999999</v>
      </c>
      <c r="AZ28" s="3">
        <v>1</v>
      </c>
      <c r="BA28" s="37">
        <f t="shared" ref="BA28:BA33" si="57">IF(AZ28="","",AZ28/AY28)</f>
        <v>5.8139534883720936</v>
      </c>
      <c r="BB28" s="3">
        <v>1</v>
      </c>
      <c r="BC28" s="3">
        <v>1</v>
      </c>
      <c r="BD28" s="36" t="s">
        <v>1880</v>
      </c>
      <c r="BE28" s="4" t="s">
        <v>168</v>
      </c>
      <c r="BF28" s="6">
        <v>16</v>
      </c>
      <c r="BG28" s="6">
        <v>25</v>
      </c>
      <c r="BH28" s="33">
        <f t="shared" ref="BH28:BH33" si="58">IF(BG28="","",BF28/BG28)</f>
        <v>0.64</v>
      </c>
      <c r="BI28" s="42">
        <v>0.182</v>
      </c>
      <c r="BJ28" s="3">
        <v>1</v>
      </c>
      <c r="BK28" s="37">
        <f t="shared" ref="BK28:BK33" si="59">IF(BJ28="","",BJ28/BI28)</f>
        <v>5.4945054945054945</v>
      </c>
      <c r="BL28" s="3">
        <v>1</v>
      </c>
      <c r="BM28" s="3">
        <v>1</v>
      </c>
      <c r="BN28" s="467" t="s">
        <v>1881</v>
      </c>
      <c r="BO28" s="4" t="s">
        <v>168</v>
      </c>
      <c r="BP28" s="6">
        <v>10.4</v>
      </c>
      <c r="BQ28" s="6">
        <v>15</v>
      </c>
      <c r="BR28" s="33">
        <f t="shared" ref="BR28:BR33" si="60">IF(BQ28="","",BP28/BQ28)</f>
        <v>0.69333333333333336</v>
      </c>
      <c r="BS28" s="42">
        <v>0.125</v>
      </c>
      <c r="BT28" s="3"/>
      <c r="BU28" s="37" t="str">
        <f t="shared" ref="BU28:BU33" si="61">IF(BT28="","",BT28/BS28)</f>
        <v/>
      </c>
      <c r="BV28" s="3"/>
      <c r="BW28" s="3"/>
      <c r="BX28" s="467" t="s">
        <v>1882</v>
      </c>
      <c r="BY28" s="4" t="s">
        <v>168</v>
      </c>
      <c r="BZ28" s="6">
        <v>10.4</v>
      </c>
      <c r="CA28" s="6">
        <v>15.5</v>
      </c>
      <c r="CB28" s="33">
        <f t="shared" ref="CB28:CB33" si="62">IF(CA28="","",BZ28/CA28)</f>
        <v>0.67096774193548392</v>
      </c>
      <c r="CC28" s="42">
        <v>0.11700000000000001</v>
      </c>
      <c r="CD28" s="3"/>
      <c r="CE28" s="37" t="str">
        <f t="shared" ref="CE28:CE33" si="63">IF(CD28="","",CD28/CC28)</f>
        <v/>
      </c>
      <c r="CF28" s="3"/>
      <c r="CG28" s="3"/>
      <c r="CH28" s="36" t="s">
        <v>1883</v>
      </c>
      <c r="CI28" s="4"/>
      <c r="CJ28" s="6">
        <v>22.4</v>
      </c>
      <c r="CK28" s="6">
        <v>19.5</v>
      </c>
      <c r="CL28" s="33">
        <f t="shared" ref="CL28:CL33" si="64">IF(CK28="","",CJ28/CK28)</f>
        <v>1.1487179487179486</v>
      </c>
      <c r="CM28" s="42"/>
      <c r="CN28" s="3"/>
      <c r="CO28" s="37" t="str">
        <f t="shared" ref="CO28:CO33" si="65">IF(CN28="","",CN28/CM28)</f>
        <v/>
      </c>
      <c r="CP28" s="3"/>
      <c r="CQ28" s="3"/>
      <c r="CR28" s="36"/>
      <c r="CS28" s="4"/>
      <c r="CT28" s="6"/>
      <c r="CU28" s="6"/>
      <c r="CV28" s="33" t="str">
        <f t="shared" ref="CV28:CV33" si="66">IF(CU28="","",CT28/CU28)</f>
        <v/>
      </c>
      <c r="CW28" s="42"/>
      <c r="CX28" s="3"/>
      <c r="CY28" s="37" t="str">
        <f t="shared" ref="CY28:CY33" si="67">IF(CX28="","",CX28/CW28)</f>
        <v/>
      </c>
      <c r="CZ28" s="3"/>
      <c r="DA28" s="3"/>
      <c r="DB28" s="36"/>
      <c r="DC28" s="4"/>
      <c r="DD28" s="6"/>
      <c r="DE28" s="6"/>
      <c r="DF28" s="33" t="str">
        <f t="shared" ref="DF28:DF33" si="68">IF(DE28="","",DD28/DE28)</f>
        <v/>
      </c>
      <c r="DG28" s="42"/>
      <c r="DH28" s="3"/>
      <c r="DI28" s="37" t="str">
        <f t="shared" ref="DI28:DI33" si="69">IF(DH28="","",DH28/DG28)</f>
        <v/>
      </c>
      <c r="DJ28" s="3"/>
      <c r="DK28" s="3"/>
      <c r="DL28" s="4"/>
      <c r="DM28" s="4"/>
      <c r="DN28" s="6"/>
      <c r="DO28" s="6"/>
      <c r="DP28" s="33" t="str">
        <f t="shared" ref="DP28:DP33" si="70">IF(DO28="","",DN28/DO28)</f>
        <v/>
      </c>
      <c r="DQ28" s="42"/>
      <c r="DR28" s="3"/>
      <c r="DS28" s="37" t="str">
        <f t="shared" ref="DS28:DS33" si="71">IF(DR28="","",DR28/DQ28)</f>
        <v/>
      </c>
      <c r="DT28" s="3"/>
      <c r="DU28" s="3"/>
      <c r="DV28" s="4"/>
      <c r="DW28" s="4"/>
      <c r="DX28" s="6"/>
      <c r="DY28" s="6"/>
      <c r="DZ28" s="33" t="str">
        <f t="shared" ref="DZ28:DZ33" si="72">IF(DY28="","",DX28/DY28)</f>
        <v/>
      </c>
      <c r="EA28" s="42"/>
      <c r="EB28" s="3"/>
      <c r="EC28" s="37" t="str">
        <f t="shared" ref="EC28:EC33" si="73">IF(EB28="","",EB28/EA28)</f>
        <v/>
      </c>
      <c r="ED28" s="3"/>
      <c r="EE28" s="3"/>
      <c r="EF28" s="4"/>
      <c r="EG28" s="4"/>
      <c r="EH28" s="6"/>
      <c r="EI28" s="6"/>
      <c r="EJ28" s="33" t="str">
        <f t="shared" ref="EJ28:EJ33" si="74">IF(EI28="","",EH28/EI28)</f>
        <v/>
      </c>
      <c r="EK28" s="42"/>
      <c r="EL28" s="3"/>
      <c r="EM28" s="37" t="str">
        <f t="shared" ref="EM28:EM33" si="75">IF(EL28="","",EL28/EK28)</f>
        <v/>
      </c>
      <c r="EN28" s="3"/>
      <c r="EO28" s="3"/>
      <c r="EP28" s="4"/>
      <c r="EQ28" s="4"/>
      <c r="ER28" s="6"/>
      <c r="ES28" s="6"/>
      <c r="ET28" s="33" t="str">
        <f t="shared" ref="ET28:ET33" si="76">IF(ES28="","",ER28/ES28)</f>
        <v/>
      </c>
      <c r="EU28" s="42"/>
      <c r="EV28" s="3"/>
      <c r="EW28" s="37" t="str">
        <f t="shared" ref="EW28:EW33" si="77">IF(EV28="","",EV28/EU28)</f>
        <v/>
      </c>
      <c r="EX28" s="3"/>
      <c r="EY28" s="3"/>
      <c r="EZ28" s="4"/>
      <c r="FA28" s="4"/>
      <c r="FB28" s="6"/>
      <c r="FC28" s="6"/>
      <c r="FD28" s="33" t="str">
        <f t="shared" ref="FD28:FD33" si="78">IF(FC28="","",FB28/FC28)</f>
        <v/>
      </c>
      <c r="FE28" s="42"/>
      <c r="FF28" s="3"/>
      <c r="FG28" s="37" t="str">
        <f t="shared" ref="FG28:FG33" si="79">IF(FF28="","",FF28/FE28)</f>
        <v/>
      </c>
      <c r="FH28" s="3"/>
      <c r="FI28" s="3"/>
    </row>
    <row r="29" spans="2:165" ht="285.95">
      <c r="B29" s="224" t="s">
        <v>1884</v>
      </c>
      <c r="C29" s="3" t="s">
        <v>1865</v>
      </c>
      <c r="D29" s="3" t="s">
        <v>223</v>
      </c>
      <c r="E29" s="28" t="s">
        <v>313</v>
      </c>
      <c r="F29" s="4">
        <v>5</v>
      </c>
      <c r="G29" s="123" t="str">
        <f t="shared" si="0"/>
        <v>○
[P・Q]
○・○</v>
      </c>
      <c r="H29" s="123" t="str">
        <f t="shared" si="1"/>
        <v>○
[P・Q]
○・○</v>
      </c>
      <c r="I29" s="376" t="str">
        <f t="shared" si="2"/>
        <v>○
[P・Q]
○・○</v>
      </c>
      <c r="J29" s="376" t="str">
        <f t="shared" si="3"/>
        <v>×
[P・Q]
○・--</v>
      </c>
      <c r="K29" s="376" t="str">
        <f t="shared" si="4"/>
        <v>×
[P・Q]
○・--</v>
      </c>
      <c r="L29" s="376" t="str">
        <f t="shared" si="5"/>
        <v/>
      </c>
      <c r="M29" s="123" t="str">
        <f t="shared" si="6"/>
        <v/>
      </c>
      <c r="N29" s="123" t="str">
        <f t="shared" si="7"/>
        <v/>
      </c>
      <c r="O29" s="123" t="str">
        <f t="shared" si="44"/>
        <v/>
      </c>
      <c r="P29" s="123" t="str">
        <f t="shared" si="8"/>
        <v/>
      </c>
      <c r="Q29" s="123" t="str">
        <f t="shared" si="9"/>
        <v/>
      </c>
      <c r="R29" s="123" t="str">
        <f t="shared" si="10"/>
        <v/>
      </c>
      <c r="S29" s="76">
        <f t="shared" si="11"/>
        <v>0.8</v>
      </c>
      <c r="T29" s="4">
        <v>5</v>
      </c>
      <c r="U29" s="4">
        <v>5</v>
      </c>
      <c r="V29" s="4">
        <v>5</v>
      </c>
      <c r="W29" s="4">
        <v>5</v>
      </c>
      <c r="X29" s="77">
        <f t="shared" si="12"/>
        <v>37.5</v>
      </c>
      <c r="Y29" s="77">
        <f t="shared" si="13"/>
        <v>22.5</v>
      </c>
      <c r="Z29" s="77" cm="1">
        <f t="array" ref="Z29">_xlfn.IFS(S29&gt;=0.8,5,S29&gt;=0.6,3,S29&gt;=0.2,1,S29&lt;0.2,0)</f>
        <v>5</v>
      </c>
      <c r="AA29" s="140">
        <f t="shared" si="51"/>
        <v>85</v>
      </c>
      <c r="AB29" s="5"/>
      <c r="AC29" s="5" t="s">
        <v>1885</v>
      </c>
      <c r="AD29" s="80"/>
      <c r="AE29" s="5"/>
      <c r="AF29" s="5"/>
      <c r="AG29" s="5" t="s">
        <v>1886</v>
      </c>
      <c r="AH29" s="464"/>
      <c r="AI29" s="205">
        <f t="shared" si="52"/>
        <v>0.85951553324188412</v>
      </c>
      <c r="AJ29" s="206">
        <f t="shared" si="53"/>
        <v>2.0576131687242798</v>
      </c>
      <c r="AK29" s="80" t="str">
        <f t="shared" si="54"/>
        <v>HIGH</v>
      </c>
      <c r="AL29" s="80" t="str">
        <f t="shared" si="55"/>
        <v>HIGH</v>
      </c>
      <c r="AM29" s="5" t="s">
        <v>1887</v>
      </c>
      <c r="AN29" s="446" t="s">
        <v>1888</v>
      </c>
      <c r="AO29" s="126" t="str">
        <f>IF(AND(AA29&gt;Summary!$C$5, AA29&lt;=Summary!$D$5),Summary!$B$5,IF(AND(AA29&gt;Summary!$C$6, AA29&lt;=Summary!$D$6),Summary!$B$6,IF(AND(AA29&gt;Summary!$C$7, AA29&lt;=Summary!$D$7),Summary!$B$7,Summary!$B$8)))</f>
        <v>◎</v>
      </c>
      <c r="AP29" s="126" t="s">
        <v>168</v>
      </c>
      <c r="AQ29" s="126" t="s">
        <v>168</v>
      </c>
      <c r="AR29" s="126" t="s">
        <v>1401</v>
      </c>
      <c r="AS29" s="29" t="s">
        <v>1803</v>
      </c>
      <c r="AT29" s="465" t="s">
        <v>1889</v>
      </c>
      <c r="AU29" s="4" t="s">
        <v>168</v>
      </c>
      <c r="AV29" s="6">
        <v>15.2</v>
      </c>
      <c r="AW29" s="6">
        <v>23.3</v>
      </c>
      <c r="AX29" s="33">
        <f t="shared" si="56"/>
        <v>0.6523605150214592</v>
      </c>
      <c r="AY29" s="42">
        <v>0.219</v>
      </c>
      <c r="AZ29" s="3">
        <v>0</v>
      </c>
      <c r="BA29" s="37">
        <f t="shared" si="57"/>
        <v>0</v>
      </c>
      <c r="BB29" s="3">
        <v>0</v>
      </c>
      <c r="BC29" s="3">
        <v>0</v>
      </c>
      <c r="BD29" s="36" t="s">
        <v>1890</v>
      </c>
      <c r="BE29" s="4" t="s">
        <v>168</v>
      </c>
      <c r="BF29" s="6">
        <v>16</v>
      </c>
      <c r="BG29" s="6">
        <v>23.8</v>
      </c>
      <c r="BH29" s="33">
        <f t="shared" si="58"/>
        <v>0.67226890756302515</v>
      </c>
      <c r="BI29" s="42">
        <v>0.32400000000000001</v>
      </c>
      <c r="BJ29" s="3">
        <v>2</v>
      </c>
      <c r="BK29" s="37">
        <f t="shared" si="59"/>
        <v>6.1728395061728394</v>
      </c>
      <c r="BL29" s="3">
        <v>2</v>
      </c>
      <c r="BM29" s="3">
        <v>2</v>
      </c>
      <c r="BN29" s="36" t="s">
        <v>1891</v>
      </c>
      <c r="BO29" s="4" t="s">
        <v>168</v>
      </c>
      <c r="BP29" s="6">
        <v>10.4</v>
      </c>
      <c r="BQ29" s="6">
        <v>15.2</v>
      </c>
      <c r="BR29" s="33">
        <f t="shared" si="60"/>
        <v>0.68421052631578949</v>
      </c>
      <c r="BS29" s="42">
        <v>0.29399999999999998</v>
      </c>
      <c r="BT29" s="3">
        <v>0</v>
      </c>
      <c r="BU29" s="37">
        <f t="shared" si="61"/>
        <v>0</v>
      </c>
      <c r="BV29" s="3">
        <v>0</v>
      </c>
      <c r="BW29" s="3">
        <v>0</v>
      </c>
      <c r="BX29" s="467" t="s">
        <v>1892</v>
      </c>
      <c r="BY29" s="4" t="s">
        <v>168</v>
      </c>
      <c r="BZ29" s="6">
        <v>22.4</v>
      </c>
      <c r="CA29" s="6">
        <v>21.6</v>
      </c>
      <c r="CB29" s="33">
        <f t="shared" si="62"/>
        <v>1.037037037037037</v>
      </c>
      <c r="CC29" s="42">
        <v>0.96699999999999997</v>
      </c>
      <c r="CD29" s="3"/>
      <c r="CE29" s="37" t="str">
        <f t="shared" si="63"/>
        <v/>
      </c>
      <c r="CF29" s="3"/>
      <c r="CG29" s="3"/>
      <c r="CH29" s="36" t="s">
        <v>1893</v>
      </c>
      <c r="CI29" s="4"/>
      <c r="CJ29" s="6">
        <v>18.399999999999999</v>
      </c>
      <c r="CK29" s="6">
        <v>14.7</v>
      </c>
      <c r="CL29" s="33">
        <f t="shared" si="64"/>
        <v>1.2517006802721089</v>
      </c>
      <c r="CM29" s="42">
        <v>0.35899999999999999</v>
      </c>
      <c r="CN29" s="3"/>
      <c r="CO29" s="37" t="str">
        <f t="shared" si="65"/>
        <v/>
      </c>
      <c r="CP29" s="3"/>
      <c r="CQ29" s="3"/>
      <c r="CR29" s="36"/>
      <c r="CS29" s="4"/>
      <c r="CT29" s="6"/>
      <c r="CU29" s="6"/>
      <c r="CV29" s="33" t="str">
        <f t="shared" si="66"/>
        <v/>
      </c>
      <c r="CW29" s="42"/>
      <c r="CX29" s="3"/>
      <c r="CY29" s="37" t="str">
        <f t="shared" si="67"/>
        <v/>
      </c>
      <c r="CZ29" s="3"/>
      <c r="DA29" s="3"/>
      <c r="DB29" s="36"/>
      <c r="DC29" s="4"/>
      <c r="DD29" s="6"/>
      <c r="DE29" s="6"/>
      <c r="DF29" s="33" t="str">
        <f t="shared" si="68"/>
        <v/>
      </c>
      <c r="DG29" s="42"/>
      <c r="DH29" s="3"/>
      <c r="DI29" s="37" t="str">
        <f t="shared" si="69"/>
        <v/>
      </c>
      <c r="DJ29" s="3"/>
      <c r="DK29" s="3"/>
      <c r="DL29" s="4"/>
      <c r="DM29" s="4"/>
      <c r="DN29" s="6"/>
      <c r="DO29" s="6"/>
      <c r="DP29" s="33" t="str">
        <f t="shared" si="70"/>
        <v/>
      </c>
      <c r="DQ29" s="42"/>
      <c r="DR29" s="3"/>
      <c r="DS29" s="37" t="str">
        <f t="shared" si="71"/>
        <v/>
      </c>
      <c r="DT29" s="3"/>
      <c r="DU29" s="3"/>
      <c r="DV29" s="4"/>
      <c r="DW29" s="4"/>
      <c r="DX29" s="6"/>
      <c r="DY29" s="6"/>
      <c r="DZ29" s="33" t="str">
        <f t="shared" si="72"/>
        <v/>
      </c>
      <c r="EA29" s="42"/>
      <c r="EB29" s="3"/>
      <c r="EC29" s="37" t="str">
        <f t="shared" si="73"/>
        <v/>
      </c>
      <c r="ED29" s="3"/>
      <c r="EE29" s="3"/>
      <c r="EF29" s="4"/>
      <c r="EG29" s="4"/>
      <c r="EH29" s="6"/>
      <c r="EI29" s="6"/>
      <c r="EJ29" s="33" t="str">
        <f t="shared" si="74"/>
        <v/>
      </c>
      <c r="EK29" s="42"/>
      <c r="EL29" s="3"/>
      <c r="EM29" s="37" t="str">
        <f t="shared" si="75"/>
        <v/>
      </c>
      <c r="EN29" s="3"/>
      <c r="EO29" s="3"/>
      <c r="EP29" s="4"/>
      <c r="EQ29" s="4"/>
      <c r="ER29" s="6"/>
      <c r="ES29" s="6"/>
      <c r="ET29" s="33" t="str">
        <f t="shared" si="76"/>
        <v/>
      </c>
      <c r="EU29" s="42"/>
      <c r="EV29" s="3"/>
      <c r="EW29" s="37" t="str">
        <f t="shared" si="77"/>
        <v/>
      </c>
      <c r="EX29" s="3"/>
      <c r="EY29" s="3"/>
      <c r="EZ29" s="4"/>
      <c r="FA29" s="4"/>
      <c r="FB29" s="6"/>
      <c r="FC29" s="6"/>
      <c r="FD29" s="33" t="str">
        <f t="shared" si="78"/>
        <v/>
      </c>
      <c r="FE29" s="42"/>
      <c r="FF29" s="3"/>
      <c r="FG29" s="37" t="str">
        <f t="shared" si="79"/>
        <v/>
      </c>
      <c r="FH29" s="3"/>
      <c r="FI29" s="3"/>
    </row>
    <row r="30" spans="2:165" ht="285.95">
      <c r="B30" s="92" t="s">
        <v>1894</v>
      </c>
      <c r="C30" s="3" t="s">
        <v>1865</v>
      </c>
      <c r="D30" s="3" t="s">
        <v>223</v>
      </c>
      <c r="E30" s="28" t="s">
        <v>313</v>
      </c>
      <c r="F30" s="4">
        <v>6</v>
      </c>
      <c r="G30" s="123" t="str">
        <f t="shared" si="0"/>
        <v>×
[P・Q]
○・×</v>
      </c>
      <c r="H30" s="123" t="str">
        <f t="shared" si="1"/>
        <v>×
[P・Q]
○・×</v>
      </c>
      <c r="I30" s="123" t="str">
        <f t="shared" si="2"/>
        <v>○
[P・Q]
○・○</v>
      </c>
      <c r="J30" s="123" t="str">
        <f t="shared" si="3"/>
        <v>×
[P・Q]
--・--</v>
      </c>
      <c r="K30" s="123" t="str">
        <f t="shared" si="4"/>
        <v>○
[P・Q]
○・○</v>
      </c>
      <c r="L30" s="123" t="str">
        <f t="shared" si="5"/>
        <v>○
[P・Q]
○・○</v>
      </c>
      <c r="M30" s="246" t="str">
        <f t="shared" si="6"/>
        <v/>
      </c>
      <c r="N30" s="123" t="str">
        <f t="shared" si="7"/>
        <v/>
      </c>
      <c r="O30" s="123" t="str">
        <f t="shared" si="44"/>
        <v/>
      </c>
      <c r="P30" s="123" t="str">
        <f t="shared" si="8"/>
        <v/>
      </c>
      <c r="Q30" s="123" t="str">
        <f t="shared" si="9"/>
        <v/>
      </c>
      <c r="R30" s="123" t="str">
        <f t="shared" si="10"/>
        <v/>
      </c>
      <c r="S30" s="76">
        <f t="shared" si="11"/>
        <v>1</v>
      </c>
      <c r="T30" s="4">
        <v>5</v>
      </c>
      <c r="U30" s="4">
        <v>5</v>
      </c>
      <c r="V30" s="4">
        <v>5</v>
      </c>
      <c r="W30" s="4">
        <v>5</v>
      </c>
      <c r="X30" s="77">
        <f t="shared" si="12"/>
        <v>31.25</v>
      </c>
      <c r="Y30" s="77">
        <f t="shared" si="13"/>
        <v>18.75</v>
      </c>
      <c r="Z30" s="77" cm="1">
        <f t="array" ref="Z30">_xlfn.IFS(S30&gt;=0.8,5,S30&gt;=0.6,3,S30&gt;=0.2,1,S30&lt;0.2,0)</f>
        <v>5</v>
      </c>
      <c r="AA30" s="140">
        <f t="shared" si="51"/>
        <v>75</v>
      </c>
      <c r="AB30" s="5"/>
      <c r="AC30" s="364" t="s">
        <v>1895</v>
      </c>
      <c r="AD30" s="80"/>
      <c r="AE30" s="5"/>
      <c r="AF30" s="5"/>
      <c r="AG30" s="5" t="s">
        <v>1896</v>
      </c>
      <c r="AH30" s="464"/>
      <c r="AI30" s="205">
        <f t="shared" si="52"/>
        <v>0.73304519186811878</v>
      </c>
      <c r="AJ30" s="206">
        <f t="shared" si="53"/>
        <v>5.3473545982123953</v>
      </c>
      <c r="AK30" s="80" t="str">
        <f t="shared" si="54"/>
        <v>HIGH</v>
      </c>
      <c r="AL30" s="80" t="str">
        <f t="shared" si="55"/>
        <v>HIGH</v>
      </c>
      <c r="AM30" s="5" t="s">
        <v>1897</v>
      </c>
      <c r="AN30" s="446" t="s">
        <v>1898</v>
      </c>
      <c r="AO30" s="126" t="str">
        <f>IF(AND(AA30&gt;Summary!$C$5, AA30&lt;=Summary!$D$5),Summary!$B$5,IF(AND(AA30&gt;Summary!$C$6, AA30&lt;=Summary!$D$6),Summary!$B$6,IF(AND(AA30&gt;Summary!$C$7, AA30&lt;=Summary!$D$7),Summary!$B$7,Summary!$B$8)))</f>
        <v>◎</v>
      </c>
      <c r="AP30" s="126" t="s">
        <v>168</v>
      </c>
      <c r="AQ30" s="126" t="s">
        <v>168</v>
      </c>
      <c r="AR30" s="126" t="s">
        <v>1401</v>
      </c>
      <c r="AS30" s="29" t="s">
        <v>1803</v>
      </c>
      <c r="AT30" s="465" t="s">
        <v>1899</v>
      </c>
      <c r="AU30" s="4" t="s">
        <v>168</v>
      </c>
      <c r="AV30" s="6">
        <v>15.2</v>
      </c>
      <c r="AW30" s="6">
        <v>22</v>
      </c>
      <c r="AX30" s="33">
        <f t="shared" si="56"/>
        <v>0.69090909090909092</v>
      </c>
      <c r="AY30" s="42">
        <v>0.122</v>
      </c>
      <c r="AZ30" s="3">
        <v>1</v>
      </c>
      <c r="BA30" s="37">
        <f t="shared" si="57"/>
        <v>8.1967213114754092</v>
      </c>
      <c r="BB30" s="3">
        <v>1</v>
      </c>
      <c r="BC30" s="3">
        <v>1</v>
      </c>
      <c r="BD30" s="36" t="s">
        <v>1900</v>
      </c>
      <c r="BE30" s="4" t="s">
        <v>168</v>
      </c>
      <c r="BF30" s="6">
        <v>15.2</v>
      </c>
      <c r="BG30" s="6">
        <v>19.2</v>
      </c>
      <c r="BH30" s="33">
        <f t="shared" si="58"/>
        <v>0.79166666666666663</v>
      </c>
      <c r="BI30" s="42">
        <v>0.216</v>
      </c>
      <c r="BJ30" s="3">
        <v>3</v>
      </c>
      <c r="BK30" s="37">
        <f t="shared" si="59"/>
        <v>13.888888888888889</v>
      </c>
      <c r="BL30" s="3">
        <v>3</v>
      </c>
      <c r="BM30" s="3">
        <v>3</v>
      </c>
      <c r="BN30" s="36" t="s">
        <v>1901</v>
      </c>
      <c r="BO30" s="4" t="s">
        <v>168</v>
      </c>
      <c r="BP30" s="6">
        <v>10.4</v>
      </c>
      <c r="BQ30" s="6">
        <v>15.4</v>
      </c>
      <c r="BR30" s="33">
        <f t="shared" si="60"/>
        <v>0.67532467532467533</v>
      </c>
      <c r="BS30" s="42">
        <v>0.17299999999999999</v>
      </c>
      <c r="BT30" s="3">
        <v>0</v>
      </c>
      <c r="BU30" s="37">
        <f t="shared" si="61"/>
        <v>0</v>
      </c>
      <c r="BV30" s="3">
        <v>0</v>
      </c>
      <c r="BW30" s="3">
        <v>0</v>
      </c>
      <c r="BX30" s="467" t="s">
        <v>1902</v>
      </c>
      <c r="BY30" s="4" t="s">
        <v>168</v>
      </c>
      <c r="BZ30" s="6">
        <v>23.2</v>
      </c>
      <c r="CA30" s="6"/>
      <c r="CB30" s="33" t="str">
        <f t="shared" si="62"/>
        <v/>
      </c>
      <c r="CC30" s="42"/>
      <c r="CD30" s="3"/>
      <c r="CE30" s="37" t="str">
        <f t="shared" si="63"/>
        <v/>
      </c>
      <c r="CF30" s="3"/>
      <c r="CG30" s="3"/>
      <c r="CH30" s="467" t="s">
        <v>1903</v>
      </c>
      <c r="CI30" s="4" t="s">
        <v>168</v>
      </c>
      <c r="CJ30" s="6">
        <v>10.4</v>
      </c>
      <c r="CK30" s="6">
        <v>13.9</v>
      </c>
      <c r="CL30" s="33">
        <f t="shared" si="64"/>
        <v>0.74820143884892087</v>
      </c>
      <c r="CM30" s="42">
        <v>0.16300000000000001</v>
      </c>
      <c r="CN30" s="3">
        <v>0</v>
      </c>
      <c r="CO30" s="37">
        <f t="shared" si="65"/>
        <v>0</v>
      </c>
      <c r="CP30" s="3">
        <v>0</v>
      </c>
      <c r="CQ30" s="3">
        <v>0</v>
      </c>
      <c r="CR30" s="467" t="s">
        <v>1904</v>
      </c>
      <c r="CS30" s="4" t="s">
        <v>168</v>
      </c>
      <c r="CT30" s="6">
        <v>10.4</v>
      </c>
      <c r="CU30" s="6">
        <v>13.7</v>
      </c>
      <c r="CV30" s="33">
        <f t="shared" si="66"/>
        <v>0.75912408759124095</v>
      </c>
      <c r="CW30" s="42">
        <v>0.215</v>
      </c>
      <c r="CX30" s="3">
        <v>1</v>
      </c>
      <c r="CY30" s="37">
        <f t="shared" si="67"/>
        <v>4.6511627906976747</v>
      </c>
      <c r="CZ30" s="3">
        <v>1</v>
      </c>
      <c r="DA30" s="3">
        <v>1</v>
      </c>
      <c r="DB30" s="36"/>
      <c r="DC30" s="4"/>
      <c r="DD30" s="6"/>
      <c r="DE30" s="6"/>
      <c r="DF30" s="33" t="str">
        <f t="shared" si="68"/>
        <v/>
      </c>
      <c r="DG30" s="42"/>
      <c r="DH30" s="3"/>
      <c r="DI30" s="37" t="str">
        <f t="shared" si="69"/>
        <v/>
      </c>
      <c r="DJ30" s="3"/>
      <c r="DK30" s="3"/>
      <c r="DL30" s="4"/>
      <c r="DM30" s="4"/>
      <c r="DN30" s="6"/>
      <c r="DO30" s="6"/>
      <c r="DP30" s="33" t="str">
        <f t="shared" si="70"/>
        <v/>
      </c>
      <c r="DQ30" s="42"/>
      <c r="DR30" s="3"/>
      <c r="DS30" s="37" t="str">
        <f t="shared" si="71"/>
        <v/>
      </c>
      <c r="DT30" s="3"/>
      <c r="DU30" s="3"/>
      <c r="DV30" s="4"/>
      <c r="DW30" s="4"/>
      <c r="DX30" s="6"/>
      <c r="DY30" s="6"/>
      <c r="DZ30" s="33" t="str">
        <f t="shared" si="72"/>
        <v/>
      </c>
      <c r="EA30" s="42"/>
      <c r="EB30" s="3"/>
      <c r="EC30" s="37" t="str">
        <f t="shared" si="73"/>
        <v/>
      </c>
      <c r="ED30" s="3"/>
      <c r="EE30" s="3"/>
      <c r="EF30" s="4"/>
      <c r="EG30" s="4"/>
      <c r="EH30" s="6"/>
      <c r="EI30" s="6"/>
      <c r="EJ30" s="33" t="str">
        <f t="shared" si="74"/>
        <v/>
      </c>
      <c r="EK30" s="42"/>
      <c r="EL30" s="3"/>
      <c r="EM30" s="37" t="str">
        <f t="shared" si="75"/>
        <v/>
      </c>
      <c r="EN30" s="3"/>
      <c r="EO30" s="3"/>
      <c r="EP30" s="4"/>
      <c r="EQ30" s="4"/>
      <c r="ER30" s="6"/>
      <c r="ES30" s="6"/>
      <c r="ET30" s="33" t="str">
        <f t="shared" si="76"/>
        <v/>
      </c>
      <c r="EU30" s="42"/>
      <c r="EV30" s="3"/>
      <c r="EW30" s="37" t="str">
        <f t="shared" si="77"/>
        <v/>
      </c>
      <c r="EX30" s="3"/>
      <c r="EY30" s="3"/>
      <c r="EZ30" s="4"/>
      <c r="FA30" s="4"/>
      <c r="FB30" s="6"/>
      <c r="FC30" s="6"/>
      <c r="FD30" s="33" t="str">
        <f t="shared" si="78"/>
        <v/>
      </c>
      <c r="FE30" s="42"/>
      <c r="FF30" s="3"/>
      <c r="FG30" s="37" t="str">
        <f t="shared" si="79"/>
        <v/>
      </c>
      <c r="FH30" s="3"/>
      <c r="FI30" s="3"/>
    </row>
    <row r="31" spans="2:165" ht="285.95">
      <c r="B31" s="3" t="s">
        <v>1905</v>
      </c>
      <c r="C31" s="3" t="s">
        <v>1865</v>
      </c>
      <c r="D31" s="3" t="s">
        <v>223</v>
      </c>
      <c r="E31" s="28" t="s">
        <v>313</v>
      </c>
      <c r="F31" s="4">
        <v>4</v>
      </c>
      <c r="G31" s="123" t="str">
        <f t="shared" si="0"/>
        <v>×
[P・Q]
○・×</v>
      </c>
      <c r="H31" s="123" t="str">
        <f t="shared" si="1"/>
        <v>×
[P・Q]
○・×</v>
      </c>
      <c r="I31" s="388" t="str">
        <f t="shared" si="2"/>
        <v>×
[P・Q]
○・--</v>
      </c>
      <c r="J31" s="388" t="str">
        <f t="shared" si="3"/>
        <v>×
[P・Q]
○・--</v>
      </c>
      <c r="K31" s="388" t="str">
        <f t="shared" si="4"/>
        <v/>
      </c>
      <c r="L31" s="388" t="str">
        <f t="shared" si="5"/>
        <v/>
      </c>
      <c r="M31" s="123" t="str">
        <f t="shared" si="6"/>
        <v/>
      </c>
      <c r="N31" s="123" t="str">
        <f t="shared" si="7"/>
        <v/>
      </c>
      <c r="O31" s="123" t="str">
        <f t="shared" si="44"/>
        <v/>
      </c>
      <c r="P31" s="123" t="str">
        <f t="shared" si="8"/>
        <v/>
      </c>
      <c r="Q31" s="123" t="str">
        <f t="shared" si="9"/>
        <v/>
      </c>
      <c r="R31" s="123" t="str">
        <f t="shared" si="10"/>
        <v/>
      </c>
      <c r="S31" s="76">
        <f t="shared" si="11"/>
        <v>0.75</v>
      </c>
      <c r="T31" s="4">
        <v>5</v>
      </c>
      <c r="U31" s="4">
        <v>5</v>
      </c>
      <c r="V31" s="4">
        <v>5</v>
      </c>
      <c r="W31" s="4">
        <v>5</v>
      </c>
      <c r="X31" s="77">
        <f t="shared" si="12"/>
        <v>37.5</v>
      </c>
      <c r="Y31" s="77">
        <f t="shared" si="13"/>
        <v>0</v>
      </c>
      <c r="Z31" s="77" cm="1">
        <f t="array" ref="Z31">_xlfn.IFS(S31&gt;=0.8,5,S31&gt;=0.6,3,S31&gt;=0.2,1,S31&lt;0.2,0)</f>
        <v>3</v>
      </c>
      <c r="AA31" s="140">
        <f t="shared" si="51"/>
        <v>60.5</v>
      </c>
      <c r="AB31" s="5"/>
      <c r="AC31" s="5" t="s">
        <v>1875</v>
      </c>
      <c r="AD31" s="80"/>
      <c r="AE31" s="5"/>
      <c r="AF31" s="5"/>
      <c r="AG31" s="5" t="s">
        <v>1906</v>
      </c>
      <c r="AH31" s="464"/>
      <c r="AI31" s="205">
        <f t="shared" si="52"/>
        <v>1.1112425789845144</v>
      </c>
      <c r="AJ31" s="206">
        <f t="shared" si="53"/>
        <v>19.13489221262552</v>
      </c>
      <c r="AK31" s="80" t="str">
        <f t="shared" si="54"/>
        <v>HIGH</v>
      </c>
      <c r="AL31" s="80" t="str">
        <f t="shared" si="55"/>
        <v>LOW</v>
      </c>
      <c r="AM31" s="5" t="s">
        <v>1907</v>
      </c>
      <c r="AN31" s="446" t="s">
        <v>1908</v>
      </c>
      <c r="AO31" s="126" t="str">
        <f>IF(AND(AA31&gt;Summary!$C$5, AA31&lt;=Summary!$D$5),Summary!$B$5,IF(AND(AA31&gt;Summary!$C$6, AA31&lt;=Summary!$D$6),Summary!$B$6,IF(AND(AA31&gt;Summary!$C$7, AA31&lt;=Summary!$D$7),Summary!$B$7,Summary!$B$8)))</f>
        <v>○</v>
      </c>
      <c r="AP31" s="126" t="s">
        <v>168</v>
      </c>
      <c r="AQ31" s="126" t="s">
        <v>168</v>
      </c>
      <c r="AR31" s="126" t="s">
        <v>1401</v>
      </c>
      <c r="AS31" s="29" t="s">
        <v>1803</v>
      </c>
      <c r="AT31" s="465" t="s">
        <v>1909</v>
      </c>
      <c r="AU31" s="4" t="s">
        <v>168</v>
      </c>
      <c r="AV31" s="6">
        <v>15.2</v>
      </c>
      <c r="AW31" s="6">
        <v>18.5</v>
      </c>
      <c r="AX31" s="33">
        <f t="shared" si="56"/>
        <v>0.82162162162162156</v>
      </c>
      <c r="AY31" s="42">
        <v>0.20200000000000001</v>
      </c>
      <c r="AZ31" s="3">
        <v>2</v>
      </c>
      <c r="BA31" s="37">
        <f t="shared" si="57"/>
        <v>9.9009900990099009</v>
      </c>
      <c r="BB31" s="3">
        <v>2</v>
      </c>
      <c r="BC31" s="3">
        <v>2</v>
      </c>
      <c r="BD31" s="36" t="s">
        <v>1910</v>
      </c>
      <c r="BE31" s="4" t="s">
        <v>168</v>
      </c>
      <c r="BF31" s="6">
        <v>10.4</v>
      </c>
      <c r="BG31" s="6">
        <v>15.5</v>
      </c>
      <c r="BH31" s="33">
        <f t="shared" si="58"/>
        <v>0.67096774193548392</v>
      </c>
      <c r="BI31" s="42">
        <v>0.14099999999999999</v>
      </c>
      <c r="BJ31" s="3">
        <v>4</v>
      </c>
      <c r="BK31" s="37">
        <f t="shared" si="59"/>
        <v>28.368794326241137</v>
      </c>
      <c r="BL31" s="3">
        <v>4</v>
      </c>
      <c r="BM31" s="3">
        <v>4</v>
      </c>
      <c r="BN31" s="80" t="s">
        <v>1911</v>
      </c>
      <c r="BO31" s="4"/>
      <c r="BP31" s="6">
        <v>15.2</v>
      </c>
      <c r="BQ31" s="6">
        <v>14</v>
      </c>
      <c r="BR31" s="33">
        <f t="shared" si="60"/>
        <v>1.0857142857142856</v>
      </c>
      <c r="BS31" s="42">
        <v>0.33600000000000002</v>
      </c>
      <c r="BT31" s="3"/>
      <c r="BU31" s="37" t="str">
        <f t="shared" si="61"/>
        <v/>
      </c>
      <c r="BV31" s="3"/>
      <c r="BW31" s="3"/>
      <c r="BX31" s="467" t="s">
        <v>1912</v>
      </c>
      <c r="BY31" s="4" t="s">
        <v>168</v>
      </c>
      <c r="BZ31" s="6">
        <v>22.4</v>
      </c>
      <c r="CA31" s="6">
        <v>12</v>
      </c>
      <c r="CB31" s="33">
        <f t="shared" si="62"/>
        <v>1.8666666666666665</v>
      </c>
      <c r="CC31" s="42">
        <v>0.91800000000000004</v>
      </c>
      <c r="CD31" s="3"/>
      <c r="CE31" s="37" t="str">
        <f t="shared" si="63"/>
        <v/>
      </c>
      <c r="CF31" s="3"/>
      <c r="CG31" s="3"/>
      <c r="CH31" s="36"/>
      <c r="CI31" s="4"/>
      <c r="CJ31" s="6"/>
      <c r="CK31" s="6"/>
      <c r="CL31" s="33" t="str">
        <f t="shared" si="64"/>
        <v/>
      </c>
      <c r="CM31" s="42"/>
      <c r="CN31" s="3"/>
      <c r="CO31" s="37" t="str">
        <f t="shared" si="65"/>
        <v/>
      </c>
      <c r="CP31" s="3"/>
      <c r="CQ31" s="3"/>
      <c r="CR31" s="36"/>
      <c r="CS31" s="4"/>
      <c r="CT31" s="6"/>
      <c r="CU31" s="6"/>
      <c r="CV31" s="33" t="str">
        <f t="shared" si="66"/>
        <v/>
      </c>
      <c r="CW31" s="42"/>
      <c r="CX31" s="3"/>
      <c r="CY31" s="37" t="str">
        <f t="shared" si="67"/>
        <v/>
      </c>
      <c r="CZ31" s="3"/>
      <c r="DA31" s="3"/>
      <c r="DB31" s="36"/>
      <c r="DC31" s="4"/>
      <c r="DD31" s="6"/>
      <c r="DE31" s="6"/>
      <c r="DF31" s="33" t="str">
        <f t="shared" si="68"/>
        <v/>
      </c>
      <c r="DG31" s="42"/>
      <c r="DH31" s="3"/>
      <c r="DI31" s="37" t="str">
        <f t="shared" si="69"/>
        <v/>
      </c>
      <c r="DJ31" s="3"/>
      <c r="DK31" s="3"/>
      <c r="DL31" s="4"/>
      <c r="DM31" s="4"/>
      <c r="DN31" s="6"/>
      <c r="DO31" s="6"/>
      <c r="DP31" s="33" t="str">
        <f t="shared" si="70"/>
        <v/>
      </c>
      <c r="DQ31" s="42"/>
      <c r="DR31" s="3"/>
      <c r="DS31" s="37" t="str">
        <f t="shared" si="71"/>
        <v/>
      </c>
      <c r="DT31" s="3"/>
      <c r="DU31" s="3"/>
      <c r="DV31" s="4"/>
      <c r="DW31" s="4"/>
      <c r="DX31" s="6"/>
      <c r="DY31" s="6"/>
      <c r="DZ31" s="33" t="str">
        <f t="shared" si="72"/>
        <v/>
      </c>
      <c r="EA31" s="42"/>
      <c r="EB31" s="3"/>
      <c r="EC31" s="37" t="str">
        <f t="shared" si="73"/>
        <v/>
      </c>
      <c r="ED31" s="3"/>
      <c r="EE31" s="3"/>
      <c r="EF31" s="4"/>
      <c r="EG31" s="4"/>
      <c r="EH31" s="6"/>
      <c r="EI31" s="6"/>
      <c r="EJ31" s="33" t="str">
        <f t="shared" si="74"/>
        <v/>
      </c>
      <c r="EK31" s="42"/>
      <c r="EL31" s="3"/>
      <c r="EM31" s="37" t="str">
        <f t="shared" si="75"/>
        <v/>
      </c>
      <c r="EN31" s="3"/>
      <c r="EO31" s="3"/>
      <c r="EP31" s="4"/>
      <c r="EQ31" s="4"/>
      <c r="ER31" s="6"/>
      <c r="ES31" s="6"/>
      <c r="ET31" s="33" t="str">
        <f t="shared" si="76"/>
        <v/>
      </c>
      <c r="EU31" s="42"/>
      <c r="EV31" s="3"/>
      <c r="EW31" s="37" t="str">
        <f t="shared" si="77"/>
        <v/>
      </c>
      <c r="EX31" s="3"/>
      <c r="EY31" s="3"/>
      <c r="EZ31" s="4"/>
      <c r="FA31" s="4"/>
      <c r="FB31" s="6"/>
      <c r="FC31" s="6"/>
      <c r="FD31" s="33" t="str">
        <f t="shared" si="78"/>
        <v/>
      </c>
      <c r="FE31" s="42"/>
      <c r="FF31" s="3"/>
      <c r="FG31" s="37" t="str">
        <f t="shared" si="79"/>
        <v/>
      </c>
      <c r="FH31" s="3"/>
      <c r="FI31" s="3"/>
    </row>
    <row r="32" spans="2:165" ht="285.95">
      <c r="B32" s="92" t="s">
        <v>1913</v>
      </c>
      <c r="C32" s="3" t="s">
        <v>1865</v>
      </c>
      <c r="D32" s="3" t="s">
        <v>223</v>
      </c>
      <c r="E32" s="28" t="s">
        <v>313</v>
      </c>
      <c r="F32" s="4">
        <v>5</v>
      </c>
      <c r="G32" s="123" t="str">
        <f t="shared" si="0"/>
        <v>×
[P・Q]
○・×</v>
      </c>
      <c r="H32" s="123" t="str">
        <f t="shared" si="1"/>
        <v>×
[P・Q]
○・×</v>
      </c>
      <c r="I32" s="123" t="str">
        <f t="shared" si="2"/>
        <v>○
[P・Q]
○・○</v>
      </c>
      <c r="J32" s="123" t="str">
        <f t="shared" si="3"/>
        <v>×
[P・Q]
○・--</v>
      </c>
      <c r="K32" s="123" t="str">
        <f t="shared" si="4"/>
        <v>×
[P・Q]
--・--</v>
      </c>
      <c r="L32" s="123" t="str">
        <f t="shared" si="5"/>
        <v/>
      </c>
      <c r="M32" s="123" t="str">
        <f t="shared" si="6"/>
        <v/>
      </c>
      <c r="N32" s="123" t="str">
        <f t="shared" si="7"/>
        <v/>
      </c>
      <c r="O32" s="123" t="str">
        <f t="shared" si="44"/>
        <v/>
      </c>
      <c r="P32" s="123" t="str">
        <f t="shared" si="8"/>
        <v/>
      </c>
      <c r="Q32" s="123" t="str">
        <f t="shared" si="9"/>
        <v/>
      </c>
      <c r="R32" s="123" t="str">
        <f t="shared" si="10"/>
        <v/>
      </c>
      <c r="S32" s="76">
        <f t="shared" si="11"/>
        <v>0.8</v>
      </c>
      <c r="T32" s="4">
        <v>5</v>
      </c>
      <c r="U32" s="4">
        <v>5</v>
      </c>
      <c r="V32" s="4">
        <v>5</v>
      </c>
      <c r="W32" s="4">
        <v>5</v>
      </c>
      <c r="X32" s="77">
        <f t="shared" si="12"/>
        <v>30</v>
      </c>
      <c r="Y32" s="77">
        <f t="shared" si="13"/>
        <v>7.5</v>
      </c>
      <c r="Z32" s="77" cm="1">
        <f t="array" ref="Z32">_xlfn.IFS(S32&gt;=0.8,5,S32&gt;=0.6,3,S32&gt;=0.2,1,S32&lt;0.2,0)</f>
        <v>5</v>
      </c>
      <c r="AA32" s="140">
        <f t="shared" si="51"/>
        <v>62.5</v>
      </c>
      <c r="AB32" s="5"/>
      <c r="AC32" s="5" t="s">
        <v>1875</v>
      </c>
      <c r="AD32" s="80"/>
      <c r="AE32" s="5"/>
      <c r="AF32" s="5"/>
      <c r="AG32" s="228" t="s">
        <v>1914</v>
      </c>
      <c r="AH32" s="464"/>
      <c r="AI32" s="205">
        <f t="shared" si="52"/>
        <v>0.78671681626121948</v>
      </c>
      <c r="AJ32" s="206">
        <f t="shared" si="53"/>
        <v>14.620662944009318</v>
      </c>
      <c r="AK32" s="80" t="str">
        <f t="shared" si="54"/>
        <v>HIGH</v>
      </c>
      <c r="AL32" s="80" t="str">
        <f t="shared" si="55"/>
        <v>LOW</v>
      </c>
      <c r="AM32" s="5" t="s">
        <v>1915</v>
      </c>
      <c r="AN32" s="446" t="s">
        <v>1916</v>
      </c>
      <c r="AO32" s="126" t="str">
        <f>IF(AND(AA32&gt;Summary!$C$5, AA32&lt;=Summary!$D$5),Summary!$B$5,IF(AND(AA32&gt;Summary!$C$6, AA32&lt;=Summary!$D$6),Summary!$B$6,IF(AND(AA32&gt;Summary!$C$7, AA32&lt;=Summary!$D$7),Summary!$B$7,Summary!$B$8)))</f>
        <v>○</v>
      </c>
      <c r="AP32" s="126" t="s">
        <v>168</v>
      </c>
      <c r="AQ32" s="126" t="s">
        <v>168</v>
      </c>
      <c r="AR32" s="126" t="s">
        <v>1401</v>
      </c>
      <c r="AS32" s="29" t="s">
        <v>1810</v>
      </c>
      <c r="AT32" s="465" t="s">
        <v>1917</v>
      </c>
      <c r="AU32" s="4" t="s">
        <v>168</v>
      </c>
      <c r="AV32" s="6">
        <v>15.2</v>
      </c>
      <c r="AW32" s="6">
        <v>23.5</v>
      </c>
      <c r="AX32" s="33">
        <f t="shared" si="56"/>
        <v>0.64680851063829781</v>
      </c>
      <c r="AY32" s="42">
        <v>6.0999999999999999E-2</v>
      </c>
      <c r="AZ32" s="3">
        <v>1</v>
      </c>
      <c r="BA32" s="37">
        <f t="shared" si="57"/>
        <v>16.393442622950818</v>
      </c>
      <c r="BB32" s="3">
        <v>1</v>
      </c>
      <c r="BC32" s="3">
        <v>1</v>
      </c>
      <c r="BD32" s="36" t="s">
        <v>1918</v>
      </c>
      <c r="BE32" s="4" t="s">
        <v>168</v>
      </c>
      <c r="BF32" s="6">
        <v>15.2</v>
      </c>
      <c r="BG32" s="6">
        <v>23</v>
      </c>
      <c r="BH32" s="33">
        <f t="shared" si="58"/>
        <v>0.66086956521739126</v>
      </c>
      <c r="BI32" s="42">
        <v>4.7E-2</v>
      </c>
      <c r="BJ32" s="3">
        <v>1</v>
      </c>
      <c r="BK32" s="37">
        <f t="shared" si="59"/>
        <v>21.276595744680851</v>
      </c>
      <c r="BL32" s="3">
        <v>1</v>
      </c>
      <c r="BM32" s="3">
        <v>1</v>
      </c>
      <c r="BN32" s="36" t="s">
        <v>1919</v>
      </c>
      <c r="BO32" s="4" t="s">
        <v>168</v>
      </c>
      <c r="BP32" s="6">
        <v>10.4</v>
      </c>
      <c r="BQ32" s="6">
        <v>16</v>
      </c>
      <c r="BR32" s="33">
        <f t="shared" si="60"/>
        <v>0.65</v>
      </c>
      <c r="BS32" s="42">
        <v>0.32300000000000001</v>
      </c>
      <c r="BT32" s="3">
        <v>2</v>
      </c>
      <c r="BU32" s="37">
        <f t="shared" si="61"/>
        <v>6.1919504643962844</v>
      </c>
      <c r="BV32" s="3">
        <v>2</v>
      </c>
      <c r="BW32" s="3">
        <v>2</v>
      </c>
      <c r="BX32" s="467" t="s">
        <v>1920</v>
      </c>
      <c r="BY32" s="4" t="s">
        <v>168</v>
      </c>
      <c r="BZ32" s="6">
        <v>17.600000000000001</v>
      </c>
      <c r="CA32" s="6">
        <v>14.8</v>
      </c>
      <c r="CB32" s="33">
        <f t="shared" si="62"/>
        <v>1.1891891891891893</v>
      </c>
      <c r="CC32" s="42">
        <v>0.17100000000000001</v>
      </c>
      <c r="CD32" s="3"/>
      <c r="CE32" s="37" t="str">
        <f t="shared" si="63"/>
        <v/>
      </c>
      <c r="CF32" s="3"/>
      <c r="CG32" s="3"/>
      <c r="CH32" s="36" t="s">
        <v>1921</v>
      </c>
      <c r="CI32" s="4"/>
      <c r="CJ32" s="6">
        <v>11.2</v>
      </c>
      <c r="CK32" s="6"/>
      <c r="CL32" s="33" t="str">
        <f t="shared" si="64"/>
        <v/>
      </c>
      <c r="CM32" s="42"/>
      <c r="CN32" s="3"/>
      <c r="CO32" s="37" t="str">
        <f t="shared" si="65"/>
        <v/>
      </c>
      <c r="CP32" s="3"/>
      <c r="CQ32" s="3"/>
      <c r="CR32" s="36"/>
      <c r="CS32" s="4"/>
      <c r="CT32" s="6"/>
      <c r="CU32" s="6"/>
      <c r="CV32" s="33" t="str">
        <f t="shared" si="66"/>
        <v/>
      </c>
      <c r="CW32" s="42"/>
      <c r="CX32" s="3"/>
      <c r="CY32" s="37" t="str">
        <f t="shared" si="67"/>
        <v/>
      </c>
      <c r="CZ32" s="3"/>
      <c r="DA32" s="3"/>
      <c r="DB32" s="36"/>
      <c r="DC32" s="4"/>
      <c r="DD32" s="6"/>
      <c r="DE32" s="6"/>
      <c r="DF32" s="33" t="str">
        <f t="shared" si="68"/>
        <v/>
      </c>
      <c r="DG32" s="42"/>
      <c r="DH32" s="3"/>
      <c r="DI32" s="37" t="str">
        <f t="shared" si="69"/>
        <v/>
      </c>
      <c r="DJ32" s="3"/>
      <c r="DK32" s="3"/>
      <c r="DL32" s="4"/>
      <c r="DM32" s="4"/>
      <c r="DN32" s="6"/>
      <c r="DO32" s="6"/>
      <c r="DP32" s="33" t="str">
        <f t="shared" si="70"/>
        <v/>
      </c>
      <c r="DQ32" s="42"/>
      <c r="DR32" s="3"/>
      <c r="DS32" s="37" t="str">
        <f t="shared" si="71"/>
        <v/>
      </c>
      <c r="DT32" s="3"/>
      <c r="DU32" s="3"/>
      <c r="DV32" s="4"/>
      <c r="DW32" s="4"/>
      <c r="DX32" s="6"/>
      <c r="DY32" s="6"/>
      <c r="DZ32" s="33" t="str">
        <f t="shared" si="72"/>
        <v/>
      </c>
      <c r="EA32" s="42"/>
      <c r="EB32" s="3"/>
      <c r="EC32" s="37" t="str">
        <f t="shared" si="73"/>
        <v/>
      </c>
      <c r="ED32" s="3"/>
      <c r="EE32" s="3"/>
      <c r="EF32" s="4"/>
      <c r="EG32" s="4"/>
      <c r="EH32" s="6"/>
      <c r="EI32" s="6"/>
      <c r="EJ32" s="33" t="str">
        <f t="shared" si="74"/>
        <v/>
      </c>
      <c r="EK32" s="42"/>
      <c r="EL32" s="3"/>
      <c r="EM32" s="37" t="str">
        <f t="shared" si="75"/>
        <v/>
      </c>
      <c r="EN32" s="3"/>
      <c r="EO32" s="3"/>
      <c r="EP32" s="4"/>
      <c r="EQ32" s="4"/>
      <c r="ER32" s="6"/>
      <c r="ES32" s="6"/>
      <c r="ET32" s="33" t="str">
        <f t="shared" si="76"/>
        <v/>
      </c>
      <c r="EU32" s="42"/>
      <c r="EV32" s="3"/>
      <c r="EW32" s="37" t="str">
        <f t="shared" si="77"/>
        <v/>
      </c>
      <c r="EX32" s="3"/>
      <c r="EY32" s="3"/>
      <c r="EZ32" s="4"/>
      <c r="FA32" s="4"/>
      <c r="FB32" s="6"/>
      <c r="FC32" s="6"/>
      <c r="FD32" s="33" t="str">
        <f t="shared" si="78"/>
        <v/>
      </c>
      <c r="FE32" s="42"/>
      <c r="FF32" s="3"/>
      <c r="FG32" s="37" t="str">
        <f t="shared" si="79"/>
        <v/>
      </c>
      <c r="FH32" s="3"/>
      <c r="FI32" s="3"/>
    </row>
    <row r="33" spans="2:165" ht="285.95" hidden="1">
      <c r="B33" s="92" t="s">
        <v>1922</v>
      </c>
      <c r="C33" s="3" t="s">
        <v>1865</v>
      </c>
      <c r="D33" s="3" t="s">
        <v>287</v>
      </c>
      <c r="E33" s="28" t="s">
        <v>313</v>
      </c>
      <c r="F33" s="4">
        <v>5</v>
      </c>
      <c r="G33" s="123" t="str">
        <f t="shared" si="0"/>
        <v>○
[P・Q]
○・○</v>
      </c>
      <c r="H33" s="123" t="str">
        <f t="shared" si="1"/>
        <v>○
[P・Q]
○・○</v>
      </c>
      <c r="I33" s="123" t="str">
        <f t="shared" si="2"/>
        <v>×
[P・Q]
○・×</v>
      </c>
      <c r="J33" s="123" t="str">
        <f t="shared" si="3"/>
        <v>×
[P・Q]
○・×</v>
      </c>
      <c r="K33" s="123" t="str">
        <f t="shared" si="4"/>
        <v>×
[P・Q]
○・--</v>
      </c>
      <c r="L33" s="123" t="str">
        <f t="shared" si="5"/>
        <v/>
      </c>
      <c r="M33" s="123" t="str">
        <f t="shared" si="6"/>
        <v/>
      </c>
      <c r="N33" s="123" t="str">
        <f t="shared" si="7"/>
        <v/>
      </c>
      <c r="O33" s="123" t="str">
        <f t="shared" si="44"/>
        <v/>
      </c>
      <c r="P33" s="123" t="str">
        <f t="shared" si="8"/>
        <v/>
      </c>
      <c r="Q33" s="123" t="str">
        <f t="shared" si="9"/>
        <v/>
      </c>
      <c r="R33" s="123" t="str">
        <f t="shared" si="10"/>
        <v/>
      </c>
      <c r="S33" s="76">
        <f t="shared" si="11"/>
        <v>0.8</v>
      </c>
      <c r="T33" s="4">
        <v>5</v>
      </c>
      <c r="U33" s="4">
        <v>5</v>
      </c>
      <c r="V33" s="4">
        <v>5</v>
      </c>
      <c r="W33" s="4">
        <v>5</v>
      </c>
      <c r="X33" s="77">
        <f t="shared" si="12"/>
        <v>37.5</v>
      </c>
      <c r="Y33" s="77">
        <f t="shared" si="13"/>
        <v>15</v>
      </c>
      <c r="Z33" s="77" cm="1">
        <f t="array" ref="Z33">_xlfn.IFS(S33&gt;=0.8,5,S33&gt;=0.6,3,S33&gt;=0.2,1,S33&lt;0.2,0)</f>
        <v>5</v>
      </c>
      <c r="AA33" s="140">
        <f t="shared" si="51"/>
        <v>77.5</v>
      </c>
      <c r="AB33" s="5"/>
      <c r="AC33" s="5" t="s">
        <v>1923</v>
      </c>
      <c r="AD33" s="80"/>
      <c r="AE33" s="5"/>
      <c r="AF33" s="5"/>
      <c r="AG33" s="5" t="s">
        <v>1924</v>
      </c>
      <c r="AH33" s="464"/>
      <c r="AI33" s="205">
        <f t="shared" si="52"/>
        <v>0.9302843797813829</v>
      </c>
      <c r="AJ33" s="206">
        <f t="shared" si="53"/>
        <v>12.548967747218196</v>
      </c>
      <c r="AK33" s="80" t="str">
        <f t="shared" si="54"/>
        <v>HIGH</v>
      </c>
      <c r="AL33" s="80" t="str">
        <f t="shared" si="55"/>
        <v>LOW</v>
      </c>
      <c r="AM33" s="5" t="s">
        <v>1925</v>
      </c>
      <c r="AN33" s="446" t="s">
        <v>1926</v>
      </c>
      <c r="AO33" s="126" t="str">
        <f>IF(AND(AA33&gt;Summary!$C$5, AA33&lt;=Summary!$D$5),Summary!$B$5,IF(AND(AA33&gt;Summary!$C$6, AA33&lt;=Summary!$D$6),Summary!$B$6,IF(AND(AA33&gt;Summary!$C$7, AA33&lt;=Summary!$D$7),Summary!$B$7,Summary!$B$8)))</f>
        <v>◎</v>
      </c>
      <c r="AP33" s="126" t="s">
        <v>168</v>
      </c>
      <c r="AQ33" s="126" t="s">
        <v>168</v>
      </c>
      <c r="AR33" s="126" t="s">
        <v>1401</v>
      </c>
      <c r="AS33" s="29" t="s">
        <v>1810</v>
      </c>
      <c r="AT33" s="465" t="s">
        <v>1927</v>
      </c>
      <c r="AU33" s="4" t="s">
        <v>168</v>
      </c>
      <c r="AV33" s="6">
        <v>15.2</v>
      </c>
      <c r="AW33" s="6">
        <v>24.5</v>
      </c>
      <c r="AX33" s="33">
        <f t="shared" si="56"/>
        <v>0.62040816326530612</v>
      </c>
      <c r="AY33" s="42">
        <v>0.184</v>
      </c>
      <c r="AZ33" s="3">
        <v>1</v>
      </c>
      <c r="BA33" s="37">
        <f t="shared" si="57"/>
        <v>5.4347826086956523</v>
      </c>
      <c r="BB33" s="3">
        <v>1</v>
      </c>
      <c r="BC33" s="3">
        <v>1</v>
      </c>
      <c r="BD33" s="36" t="s">
        <v>1928</v>
      </c>
      <c r="BE33" s="4" t="s">
        <v>168</v>
      </c>
      <c r="BF33" s="6">
        <v>10.4</v>
      </c>
      <c r="BG33" s="6">
        <v>16</v>
      </c>
      <c r="BH33" s="33">
        <f t="shared" si="58"/>
        <v>0.65</v>
      </c>
      <c r="BI33" s="42">
        <v>0.84199999999999997</v>
      </c>
      <c r="BJ33" s="3">
        <v>4</v>
      </c>
      <c r="BK33" s="37">
        <f t="shared" si="59"/>
        <v>4.7505938242280283</v>
      </c>
      <c r="BL33" s="3">
        <v>4</v>
      </c>
      <c r="BM33" s="3">
        <v>4</v>
      </c>
      <c r="BN33" s="36" t="s">
        <v>1929</v>
      </c>
      <c r="BO33" s="4" t="s">
        <v>168</v>
      </c>
      <c r="BP33" s="6">
        <v>10.4</v>
      </c>
      <c r="BQ33" s="6">
        <v>15.5</v>
      </c>
      <c r="BR33" s="33">
        <f t="shared" si="60"/>
        <v>0.67096774193548392</v>
      </c>
      <c r="BS33" s="42">
        <v>0.24199999999999999</v>
      </c>
      <c r="BT33" s="3">
        <v>2</v>
      </c>
      <c r="BU33" s="37">
        <f t="shared" si="61"/>
        <v>8.2644628099173563</v>
      </c>
      <c r="BV33" s="3">
        <v>2</v>
      </c>
      <c r="BW33" s="3">
        <v>2</v>
      </c>
      <c r="BX33" s="36" t="s">
        <v>1930</v>
      </c>
      <c r="BY33" s="4" t="s">
        <v>168</v>
      </c>
      <c r="BZ33" s="6">
        <v>15.2</v>
      </c>
      <c r="CA33" s="6">
        <v>8.5</v>
      </c>
      <c r="CB33" s="33">
        <f t="shared" si="62"/>
        <v>1.7882352941176469</v>
      </c>
      <c r="CC33" s="42">
        <v>0.126</v>
      </c>
      <c r="CD33" s="3">
        <v>4</v>
      </c>
      <c r="CE33" s="37">
        <f t="shared" si="63"/>
        <v>31.746031746031747</v>
      </c>
      <c r="CF33" s="3">
        <v>4</v>
      </c>
      <c r="CG33" s="3">
        <v>4</v>
      </c>
      <c r="CH33" s="36" t="s">
        <v>1931</v>
      </c>
      <c r="CI33" s="4"/>
      <c r="CJ33" s="6">
        <v>22.4</v>
      </c>
      <c r="CK33" s="6">
        <v>24.3</v>
      </c>
      <c r="CL33" s="33">
        <f t="shared" si="64"/>
        <v>0.92181069958847728</v>
      </c>
      <c r="CM33" s="42">
        <v>1.3380000000000001</v>
      </c>
      <c r="CN33" s="3"/>
      <c r="CO33" s="37" t="str">
        <f t="shared" si="65"/>
        <v/>
      </c>
      <c r="CP33" s="3"/>
      <c r="CQ33" s="3"/>
      <c r="CR33" s="36"/>
      <c r="CS33" s="4"/>
      <c r="CT33" s="6"/>
      <c r="CU33" s="6"/>
      <c r="CV33" s="33" t="str">
        <f t="shared" si="66"/>
        <v/>
      </c>
      <c r="CW33" s="42"/>
      <c r="CX33" s="3"/>
      <c r="CY33" s="37" t="str">
        <f t="shared" si="67"/>
        <v/>
      </c>
      <c r="CZ33" s="3"/>
      <c r="DA33" s="3"/>
      <c r="DB33" s="36"/>
      <c r="DC33" s="4"/>
      <c r="DD33" s="6"/>
      <c r="DE33" s="6"/>
      <c r="DF33" s="33" t="str">
        <f t="shared" si="68"/>
        <v/>
      </c>
      <c r="DG33" s="42"/>
      <c r="DH33" s="3"/>
      <c r="DI33" s="37" t="str">
        <f t="shared" si="69"/>
        <v/>
      </c>
      <c r="DJ33" s="3"/>
      <c r="DK33" s="3"/>
      <c r="DL33" s="4"/>
      <c r="DM33" s="4"/>
      <c r="DN33" s="6"/>
      <c r="DO33" s="6"/>
      <c r="DP33" s="33" t="str">
        <f t="shared" si="70"/>
        <v/>
      </c>
      <c r="DQ33" s="42"/>
      <c r="DR33" s="3"/>
      <c r="DS33" s="37" t="str">
        <f t="shared" si="71"/>
        <v/>
      </c>
      <c r="DT33" s="3"/>
      <c r="DU33" s="3"/>
      <c r="DV33" s="4"/>
      <c r="DW33" s="4"/>
      <c r="DX33" s="6"/>
      <c r="DY33" s="6"/>
      <c r="DZ33" s="33" t="str">
        <f t="shared" si="72"/>
        <v/>
      </c>
      <c r="EA33" s="42"/>
      <c r="EB33" s="3"/>
      <c r="EC33" s="37" t="str">
        <f t="shared" si="73"/>
        <v/>
      </c>
      <c r="ED33" s="3"/>
      <c r="EE33" s="3"/>
      <c r="EF33" s="4"/>
      <c r="EG33" s="4"/>
      <c r="EH33" s="6"/>
      <c r="EI33" s="6"/>
      <c r="EJ33" s="33" t="str">
        <f t="shared" si="74"/>
        <v/>
      </c>
      <c r="EK33" s="42"/>
      <c r="EL33" s="3"/>
      <c r="EM33" s="37" t="str">
        <f t="shared" si="75"/>
        <v/>
      </c>
      <c r="EN33" s="3"/>
      <c r="EO33" s="3"/>
      <c r="EP33" s="4"/>
      <c r="EQ33" s="4"/>
      <c r="ER33" s="6"/>
      <c r="ES33" s="6"/>
      <c r="ET33" s="33" t="str">
        <f t="shared" si="76"/>
        <v/>
      </c>
      <c r="EU33" s="42"/>
      <c r="EV33" s="3"/>
      <c r="EW33" s="37" t="str">
        <f t="shared" si="77"/>
        <v/>
      </c>
      <c r="EX33" s="3"/>
      <c r="EY33" s="3"/>
      <c r="EZ33" s="4"/>
      <c r="FA33" s="4"/>
      <c r="FB33" s="6"/>
      <c r="FC33" s="6"/>
      <c r="FD33" s="33" t="str">
        <f t="shared" si="78"/>
        <v/>
      </c>
      <c r="FE33" s="42"/>
      <c r="FF33" s="3"/>
      <c r="FG33" s="37" t="str">
        <f t="shared" si="79"/>
        <v/>
      </c>
      <c r="FH33" s="3"/>
      <c r="FI33" s="3"/>
    </row>
    <row r="34" spans="2:165" ht="285.95" hidden="1">
      <c r="B34" s="3" t="s">
        <v>1932</v>
      </c>
      <c r="C34" s="3" t="s">
        <v>1865</v>
      </c>
      <c r="D34" s="3" t="s">
        <v>287</v>
      </c>
      <c r="E34" s="4" t="s">
        <v>313</v>
      </c>
      <c r="F34" s="4">
        <v>6</v>
      </c>
      <c r="G34" s="123" t="str">
        <f t="shared" si="0"/>
        <v>×
[P・Q]
○・×</v>
      </c>
      <c r="H34" s="123" t="str">
        <f t="shared" si="1"/>
        <v>×
[P・Q]
○・×</v>
      </c>
      <c r="I34" s="123" t="str">
        <f t="shared" si="2"/>
        <v>×
[P・Q]
○・--</v>
      </c>
      <c r="J34" s="123" t="str">
        <f t="shared" si="3"/>
        <v>×
[P・Q]
○・--</v>
      </c>
      <c r="K34" s="123" t="str">
        <f t="shared" si="4"/>
        <v>×
[P・Q]
○・--</v>
      </c>
      <c r="L34" s="123" t="str">
        <f t="shared" si="5"/>
        <v>×
[P・Q]
○・--</v>
      </c>
      <c r="M34" s="123" t="str">
        <f t="shared" si="6"/>
        <v/>
      </c>
      <c r="N34" s="123" t="str">
        <f t="shared" si="7"/>
        <v/>
      </c>
      <c r="O34" s="123" t="str">
        <f t="shared" si="44"/>
        <v/>
      </c>
      <c r="P34" s="123" t="str">
        <f t="shared" si="8"/>
        <v/>
      </c>
      <c r="Q34" s="123" t="str">
        <f t="shared" si="9"/>
        <v/>
      </c>
      <c r="R34" s="123" t="str">
        <f t="shared" si="10"/>
        <v/>
      </c>
      <c r="S34" s="76">
        <f t="shared" si="11"/>
        <v>0.66666666666666663</v>
      </c>
      <c r="T34" s="4">
        <v>5</v>
      </c>
      <c r="U34" s="4">
        <v>5</v>
      </c>
      <c r="V34" s="4">
        <v>5</v>
      </c>
      <c r="W34" s="4">
        <v>5</v>
      </c>
      <c r="X34" s="77">
        <f t="shared" si="12"/>
        <v>37.5</v>
      </c>
      <c r="Y34" s="77">
        <f t="shared" si="13"/>
        <v>0</v>
      </c>
      <c r="Z34" s="77" cm="1">
        <f t="array" ref="Z34">_xlfn.IFS(S34&gt;=0.8,5,S34&gt;=0.6,3,S34&gt;=0.2,1,S34&lt;0.2,0)</f>
        <v>3</v>
      </c>
      <c r="AA34" s="55">
        <f t="shared" si="50"/>
        <v>60.5</v>
      </c>
      <c r="AB34" s="221"/>
      <c r="AC34" s="221" t="s">
        <v>1923</v>
      </c>
      <c r="AD34" s="221"/>
      <c r="AE34" s="221"/>
      <c r="AF34" s="5"/>
      <c r="AG34" s="5" t="s">
        <v>1933</v>
      </c>
      <c r="AH34" s="5"/>
      <c r="AI34" s="459">
        <f>IFERROR(AVERAGE(AX34,BH34,BR34,CB34,CL34,CV34,DF34,DP34,DZ34,EJ34)," ")</f>
        <v>0.8087267997690154</v>
      </c>
      <c r="AJ34" s="460">
        <f>IFERROR(AVERAGE(BA34,BK34,BU34,CE34,CO34,CY34,DI34,DS34,EC34,EM34)," ")</f>
        <v>17.194835680751176</v>
      </c>
      <c r="AK34" s="333" t="str">
        <f>IFERROR(IF(AI34&gt;=0.6,"HIGH","LOW"),"")</f>
        <v>HIGH</v>
      </c>
      <c r="AL34" s="333" t="str">
        <f>IFERROR(IF(AJ34&lt;=8,"HIGH","LOW"),"")</f>
        <v>LOW</v>
      </c>
      <c r="AM34" s="447" t="s">
        <v>1925</v>
      </c>
      <c r="AN34" s="461" t="s">
        <v>1934</v>
      </c>
      <c r="AO34" s="462" t="str">
        <f>IF(AND(AA34&gt;Summary!$C$5, AA34&lt;=Summary!$D$5),Summary!$B$5,IF(AND(AA34&gt;Summary!$C$6, AA34&lt;=Summary!$D$6),Summary!$B$6,IF(AND(AA34&gt;Summary!$C$7, AA34&lt;=Summary!$D$7),Summary!$B$7,Summary!$B$8)))</f>
        <v>○</v>
      </c>
      <c r="AP34" s="223" t="s">
        <v>168</v>
      </c>
      <c r="AQ34" s="14" t="s">
        <v>168</v>
      </c>
      <c r="AR34" s="14" t="s">
        <v>1401</v>
      </c>
      <c r="AS34" s="463" t="s">
        <v>1803</v>
      </c>
      <c r="AT34" s="80" t="s">
        <v>1935</v>
      </c>
      <c r="AU34" s="4" t="s">
        <v>168</v>
      </c>
      <c r="AV34" s="6">
        <v>15.2</v>
      </c>
      <c r="AW34" s="6">
        <v>23.3</v>
      </c>
      <c r="AX34" s="33">
        <f t="shared" si="18"/>
        <v>0.6523605150214592</v>
      </c>
      <c r="AY34" s="42">
        <v>0.16</v>
      </c>
      <c r="AZ34" s="3">
        <v>4</v>
      </c>
      <c r="BA34" s="37">
        <f t="shared" si="48"/>
        <v>25</v>
      </c>
      <c r="BB34" s="3">
        <v>4</v>
      </c>
      <c r="BC34" s="3">
        <v>4</v>
      </c>
      <c r="BD34" s="80" t="s">
        <v>1936</v>
      </c>
      <c r="BE34" s="4" t="s">
        <v>168</v>
      </c>
      <c r="BF34" s="6">
        <v>10.4</v>
      </c>
      <c r="BG34" s="6">
        <v>16.2</v>
      </c>
      <c r="BH34" s="33">
        <f t="shared" si="20"/>
        <v>0.64197530864197538</v>
      </c>
      <c r="BI34" s="42">
        <v>0.21299999999999999</v>
      </c>
      <c r="BJ34" s="3">
        <v>2</v>
      </c>
      <c r="BK34" s="37">
        <f t="shared" si="21"/>
        <v>9.3896713615023479</v>
      </c>
      <c r="BL34" s="3">
        <v>2</v>
      </c>
      <c r="BM34" s="3">
        <v>2</v>
      </c>
      <c r="BN34" s="468" t="s">
        <v>1937</v>
      </c>
      <c r="BO34" s="4" t="s">
        <v>168</v>
      </c>
      <c r="BP34" s="6">
        <v>10.4</v>
      </c>
      <c r="BQ34" s="6">
        <v>16.2</v>
      </c>
      <c r="BR34" s="33">
        <f t="shared" si="22"/>
        <v>0.64197530864197538</v>
      </c>
      <c r="BS34" s="42">
        <v>0.27500000000000002</v>
      </c>
      <c r="BT34" s="3"/>
      <c r="BU34" s="37" t="str">
        <f t="shared" si="23"/>
        <v/>
      </c>
      <c r="BV34" s="3"/>
      <c r="BW34" s="3"/>
      <c r="BX34" s="468" t="s">
        <v>1938</v>
      </c>
      <c r="BY34" s="4" t="s">
        <v>168</v>
      </c>
      <c r="BZ34" s="6">
        <v>15.2</v>
      </c>
      <c r="CA34" s="6">
        <v>23.8</v>
      </c>
      <c r="CB34" s="33">
        <f t="shared" si="24"/>
        <v>0.6386554621848739</v>
      </c>
      <c r="CC34" s="42">
        <v>0.307</v>
      </c>
      <c r="CD34" s="3"/>
      <c r="CE34" s="37" t="str">
        <f t="shared" ref="CE34:CE39" si="80">IF(CD34="","",CD34/CC34)</f>
        <v/>
      </c>
      <c r="CF34" s="3"/>
      <c r="CG34" s="3"/>
      <c r="CH34" s="80" t="s">
        <v>1939</v>
      </c>
      <c r="CI34" s="4"/>
      <c r="CJ34" s="6">
        <v>10.4</v>
      </c>
      <c r="CK34" s="6">
        <v>15.1</v>
      </c>
      <c r="CL34" s="33">
        <f t="shared" si="49"/>
        <v>0.68874172185430471</v>
      </c>
      <c r="CM34" s="42">
        <v>1.3120000000000001</v>
      </c>
      <c r="CN34" s="3"/>
      <c r="CO34" s="37" t="str">
        <f t="shared" si="27"/>
        <v/>
      </c>
      <c r="CP34" s="3"/>
      <c r="CQ34" s="3"/>
      <c r="CR34" s="80" t="s">
        <v>1940</v>
      </c>
      <c r="CS34" s="4"/>
      <c r="CT34" s="6">
        <v>22.4</v>
      </c>
      <c r="CU34" s="6">
        <v>14.1</v>
      </c>
      <c r="CV34" s="33">
        <f t="shared" si="28"/>
        <v>1.5886524822695034</v>
      </c>
      <c r="CW34" s="42">
        <v>1.8180000000000001</v>
      </c>
      <c r="CX34" s="3"/>
      <c r="CY34" s="37" t="str">
        <f t="shared" si="29"/>
        <v/>
      </c>
      <c r="CZ34" s="3"/>
      <c r="DA34" s="3"/>
      <c r="DB34" s="4"/>
      <c r="DC34" s="4"/>
      <c r="DD34" s="6"/>
      <c r="DE34" s="6"/>
      <c r="DF34" s="33" t="str">
        <f t="shared" si="30"/>
        <v/>
      </c>
      <c r="DG34" s="42"/>
      <c r="DH34" s="3"/>
      <c r="DI34" s="37" t="str">
        <f t="shared" si="31"/>
        <v/>
      </c>
      <c r="DJ34" s="3"/>
      <c r="DK34" s="3"/>
      <c r="DL34" s="4"/>
      <c r="DM34" s="4"/>
      <c r="DN34" s="6"/>
      <c r="DO34" s="6"/>
      <c r="DP34" s="33" t="str">
        <f t="shared" si="32"/>
        <v/>
      </c>
      <c r="DQ34" s="42"/>
      <c r="DR34" s="3"/>
      <c r="DS34" s="37" t="str">
        <f t="shared" si="33"/>
        <v/>
      </c>
      <c r="DT34" s="3"/>
      <c r="DU34" s="3"/>
      <c r="DV34" s="4"/>
      <c r="DW34" s="4"/>
      <c r="DX34" s="6"/>
      <c r="DY34" s="6"/>
      <c r="DZ34" s="33" t="str">
        <f t="shared" si="34"/>
        <v/>
      </c>
      <c r="EA34" s="42"/>
      <c r="EB34" s="3"/>
      <c r="EC34" s="37" t="str">
        <f t="shared" si="35"/>
        <v/>
      </c>
      <c r="ED34" s="3"/>
      <c r="EE34" s="3"/>
      <c r="EF34" s="4"/>
      <c r="EG34" s="4"/>
      <c r="EH34" s="6"/>
      <c r="EI34" s="6"/>
      <c r="EJ34" s="33" t="str">
        <f t="shared" si="36"/>
        <v/>
      </c>
      <c r="EK34" s="42"/>
      <c r="EL34" s="3"/>
      <c r="EM34" s="37" t="str">
        <f t="shared" si="37"/>
        <v/>
      </c>
      <c r="EN34" s="3"/>
      <c r="EO34" s="3"/>
      <c r="EP34" s="4"/>
      <c r="EQ34" s="4"/>
      <c r="ER34" s="6"/>
      <c r="ES34" s="6"/>
      <c r="ET34" s="33" t="str">
        <f t="shared" si="38"/>
        <v/>
      </c>
      <c r="EU34" s="42"/>
      <c r="EV34" s="3"/>
      <c r="EW34" s="37" t="str">
        <f t="shared" si="39"/>
        <v/>
      </c>
      <c r="EX34" s="3"/>
      <c r="EY34" s="3"/>
      <c r="EZ34" s="4"/>
      <c r="FA34" s="4"/>
      <c r="FB34" s="6"/>
      <c r="FC34" s="6"/>
      <c r="FD34" s="33" t="str">
        <f t="shared" si="40"/>
        <v/>
      </c>
      <c r="FE34" s="42"/>
      <c r="FF34" s="3"/>
      <c r="FG34" s="37" t="str">
        <f t="shared" si="41"/>
        <v/>
      </c>
      <c r="FH34" s="3"/>
      <c r="FI34" s="3"/>
    </row>
    <row r="35" spans="2:165" ht="285.95" hidden="1">
      <c r="B35" s="5" t="s">
        <v>1941</v>
      </c>
      <c r="C35" s="3" t="s">
        <v>1865</v>
      </c>
      <c r="D35" s="3" t="s">
        <v>287</v>
      </c>
      <c r="E35" s="4" t="s">
        <v>313</v>
      </c>
      <c r="F35" s="4">
        <v>5</v>
      </c>
      <c r="G35" s="123" t="str">
        <f t="shared" si="0"/>
        <v>○
[P・Q]
○・○</v>
      </c>
      <c r="H35" s="123" t="str">
        <f t="shared" si="1"/>
        <v>×
[P・Q]
○・×</v>
      </c>
      <c r="I35" s="123" t="str">
        <f t="shared" si="2"/>
        <v>×
[P・Q]
○・--</v>
      </c>
      <c r="J35" s="123" t="str">
        <f t="shared" si="3"/>
        <v>×
[P・Q]
○・--</v>
      </c>
      <c r="K35" s="123" t="str">
        <f t="shared" si="4"/>
        <v>○
[P・Q]
○・○</v>
      </c>
      <c r="L35" s="123" t="str">
        <f t="shared" si="5"/>
        <v/>
      </c>
      <c r="M35" s="123" t="str">
        <f t="shared" si="6"/>
        <v/>
      </c>
      <c r="N35" s="123" t="str">
        <f t="shared" si="7"/>
        <v/>
      </c>
      <c r="O35" s="123" t="str">
        <f t="shared" si="44"/>
        <v/>
      </c>
      <c r="P35" s="123" t="str">
        <f t="shared" si="8"/>
        <v/>
      </c>
      <c r="Q35" s="123" t="str">
        <f t="shared" si="9"/>
        <v/>
      </c>
      <c r="R35" s="123" t="str">
        <f t="shared" si="10"/>
        <v/>
      </c>
      <c r="S35" s="76">
        <f t="shared" si="11"/>
        <v>0.8</v>
      </c>
      <c r="T35" s="4">
        <v>5</v>
      </c>
      <c r="U35" s="4">
        <v>5</v>
      </c>
      <c r="V35" s="4">
        <v>5</v>
      </c>
      <c r="W35" s="4">
        <v>5</v>
      </c>
      <c r="X35" s="77">
        <f t="shared" si="12"/>
        <v>37.5</v>
      </c>
      <c r="Y35" s="77">
        <f t="shared" si="13"/>
        <v>15</v>
      </c>
      <c r="Z35" s="77" cm="1">
        <f t="array" ref="Z35">_xlfn.IFS(S35&gt;=0.8,5,S35&gt;=0.6,3,S35&gt;=0.2,1,S35&lt;0.2,0)</f>
        <v>5</v>
      </c>
      <c r="AA35" s="140">
        <f t="shared" si="50"/>
        <v>77.5</v>
      </c>
      <c r="AB35" s="5"/>
      <c r="AC35" s="5" t="s">
        <v>1942</v>
      </c>
      <c r="AD35" s="5"/>
      <c r="AE35" s="5"/>
      <c r="AF35" s="5"/>
      <c r="AG35" s="228" t="s">
        <v>1943</v>
      </c>
      <c r="AH35" s="464"/>
      <c r="AI35" s="205">
        <f>IFERROR(AVERAGE(AX35,BH35,BR35,CB35,CL35,CV35,DF35,DP35,DZ35,EJ35)," ")</f>
        <v>0.82204838914334599</v>
      </c>
      <c r="AJ35" s="206">
        <f>IFERROR(AVERAGE(BA35,BK35,BU35,CE35,CO35,CY35,DI35,DS35,EC35,EM35)," ")</f>
        <v>7.2840007196038288</v>
      </c>
      <c r="AK35" s="80" t="str">
        <f>IFERROR(IF(AI35&gt;=0.6,"HIGH","LOW"),"")</f>
        <v>HIGH</v>
      </c>
      <c r="AL35" s="80" t="str">
        <f>IFERROR(IF(AJ35&lt;=8,"HIGH","LOW"),"")</f>
        <v>HIGH</v>
      </c>
      <c r="AM35" s="5" t="s">
        <v>1944</v>
      </c>
      <c r="AN35" s="448" t="s">
        <v>1945</v>
      </c>
      <c r="AO35" s="126" t="str">
        <f>IF(AND(AA35&gt;Summary!$C$5, AA35&lt;=Summary!$D$5),Summary!$B$5,IF(AND(AA35&gt;Summary!$C$6, AA35&lt;=Summary!$D$6),Summary!$B$6,IF(AND(AA35&gt;Summary!$C$7, AA35&lt;=Summary!$D$7),Summary!$B$7,Summary!$B$8)))</f>
        <v>◎</v>
      </c>
      <c r="AP35" s="126" t="s">
        <v>168</v>
      </c>
      <c r="AQ35" s="126" t="s">
        <v>168</v>
      </c>
      <c r="AR35" s="126" t="s">
        <v>1401</v>
      </c>
      <c r="AS35" s="29" t="s">
        <v>1810</v>
      </c>
      <c r="AT35" s="82" t="s">
        <v>1946</v>
      </c>
      <c r="AU35" s="4" t="s">
        <v>168</v>
      </c>
      <c r="AV35" s="6">
        <v>10.4</v>
      </c>
      <c r="AW35" s="6">
        <v>15.5</v>
      </c>
      <c r="AX35" s="33">
        <f t="shared" si="18"/>
        <v>0.67096774193548392</v>
      </c>
      <c r="AY35" s="42">
        <v>0.34100000000000003</v>
      </c>
      <c r="AZ35" s="3">
        <v>2</v>
      </c>
      <c r="BA35" s="37">
        <f t="shared" si="48"/>
        <v>5.8651026392961869</v>
      </c>
      <c r="BB35" s="3">
        <v>2</v>
      </c>
      <c r="BC35" s="3">
        <v>2</v>
      </c>
      <c r="BD35" s="80" t="s">
        <v>1947</v>
      </c>
      <c r="BE35" s="4" t="s">
        <v>168</v>
      </c>
      <c r="BF35" s="6">
        <v>22.4</v>
      </c>
      <c r="BG35" s="6">
        <v>35.5</v>
      </c>
      <c r="BH35" s="33">
        <f t="shared" si="20"/>
        <v>0.63098591549295768</v>
      </c>
      <c r="BI35" s="42">
        <v>0.52400000000000002</v>
      </c>
      <c r="BJ35" s="3">
        <v>7</v>
      </c>
      <c r="BK35" s="37">
        <f t="shared" si="21"/>
        <v>13.358778625954198</v>
      </c>
      <c r="BL35" s="3">
        <v>7</v>
      </c>
      <c r="BM35" s="3">
        <v>7</v>
      </c>
      <c r="BN35" s="468" t="s">
        <v>1948</v>
      </c>
      <c r="BO35" s="4" t="s">
        <v>168</v>
      </c>
      <c r="BP35" s="6">
        <v>10.4</v>
      </c>
      <c r="BQ35" s="6">
        <v>12</v>
      </c>
      <c r="BR35" s="33">
        <f t="shared" si="22"/>
        <v>0.8666666666666667</v>
      </c>
      <c r="BS35" s="42">
        <v>0.311</v>
      </c>
      <c r="BT35" s="3"/>
      <c r="BU35" s="37" t="str">
        <f t="shared" si="23"/>
        <v/>
      </c>
      <c r="BV35" s="3"/>
      <c r="BW35" s="3"/>
      <c r="BX35" s="80" t="s">
        <v>1949</v>
      </c>
      <c r="BY35" s="4"/>
      <c r="BZ35" s="6">
        <v>15.2</v>
      </c>
      <c r="CA35" s="6">
        <v>18.5</v>
      </c>
      <c r="CB35" s="33">
        <f t="shared" si="24"/>
        <v>0.82162162162162156</v>
      </c>
      <c r="CC35" s="42">
        <v>1.2490000000000001</v>
      </c>
      <c r="CD35" s="3"/>
      <c r="CE35" s="37" t="str">
        <f t="shared" si="80"/>
        <v/>
      </c>
      <c r="CF35" s="3"/>
      <c r="CG35" s="3"/>
      <c r="CH35" s="80" t="s">
        <v>1950</v>
      </c>
      <c r="CI35" s="4" t="s">
        <v>168</v>
      </c>
      <c r="CJ35" s="6">
        <v>22.4</v>
      </c>
      <c r="CK35" s="6">
        <v>20</v>
      </c>
      <c r="CL35" s="33">
        <f t="shared" si="49"/>
        <v>1.1199999999999999</v>
      </c>
      <c r="CM35" s="42">
        <v>0.76100000000000001</v>
      </c>
      <c r="CN35" s="3">
        <v>2</v>
      </c>
      <c r="CO35" s="37">
        <f t="shared" si="27"/>
        <v>2.6281208935611038</v>
      </c>
      <c r="CP35" s="3">
        <v>2</v>
      </c>
      <c r="CQ35" s="3">
        <v>2</v>
      </c>
      <c r="CR35" s="4"/>
      <c r="CS35" s="4"/>
      <c r="CT35" s="6"/>
      <c r="CU35" s="6"/>
      <c r="CV35" s="33" t="str">
        <f t="shared" si="28"/>
        <v/>
      </c>
      <c r="CW35" s="42"/>
      <c r="CX35" s="3"/>
      <c r="CY35" s="37" t="str">
        <f t="shared" si="29"/>
        <v/>
      </c>
      <c r="CZ35" s="3"/>
      <c r="DA35" s="3"/>
      <c r="DB35" s="4"/>
      <c r="DC35" s="4"/>
      <c r="DD35" s="6"/>
      <c r="DE35" s="6"/>
      <c r="DF35" s="33" t="str">
        <f t="shared" si="30"/>
        <v/>
      </c>
      <c r="DG35" s="42"/>
      <c r="DH35" s="3"/>
      <c r="DI35" s="37" t="str">
        <f t="shared" si="31"/>
        <v/>
      </c>
      <c r="DJ35" s="3"/>
      <c r="DK35" s="3"/>
      <c r="DL35" s="4"/>
      <c r="DM35" s="4"/>
      <c r="DN35" s="6"/>
      <c r="DO35" s="6"/>
      <c r="DP35" s="33" t="str">
        <f t="shared" si="32"/>
        <v/>
      </c>
      <c r="DQ35" s="42"/>
      <c r="DR35" s="3"/>
      <c r="DS35" s="37" t="str">
        <f t="shared" si="33"/>
        <v/>
      </c>
      <c r="DT35" s="3"/>
      <c r="DU35" s="3"/>
      <c r="DV35" s="4"/>
      <c r="DW35" s="4"/>
      <c r="DX35" s="6"/>
      <c r="DY35" s="6"/>
      <c r="DZ35" s="33" t="str">
        <f t="shared" si="34"/>
        <v/>
      </c>
      <c r="EA35" s="42"/>
      <c r="EB35" s="3"/>
      <c r="EC35" s="37" t="str">
        <f t="shared" si="35"/>
        <v/>
      </c>
      <c r="ED35" s="3"/>
      <c r="EE35" s="3"/>
      <c r="EF35" s="4"/>
      <c r="EG35" s="4"/>
      <c r="EH35" s="6"/>
      <c r="EI35" s="6"/>
      <c r="EJ35" s="33" t="str">
        <f t="shared" si="36"/>
        <v/>
      </c>
      <c r="EK35" s="42"/>
      <c r="EL35" s="3"/>
      <c r="EM35" s="37" t="str">
        <f t="shared" si="37"/>
        <v/>
      </c>
      <c r="EN35" s="3"/>
      <c r="EO35" s="3"/>
      <c r="EP35" s="4"/>
      <c r="EQ35" s="4"/>
      <c r="ER35" s="6"/>
      <c r="ES35" s="6"/>
      <c r="ET35" s="33" t="str">
        <f t="shared" si="38"/>
        <v/>
      </c>
      <c r="EU35" s="42"/>
      <c r="EV35" s="3"/>
      <c r="EW35" s="37" t="str">
        <f t="shared" si="39"/>
        <v/>
      </c>
      <c r="EX35" s="3"/>
      <c r="EY35" s="3"/>
      <c r="EZ35" s="4"/>
      <c r="FA35" s="4"/>
      <c r="FB35" s="6"/>
      <c r="FC35" s="6"/>
      <c r="FD35" s="33" t="str">
        <f t="shared" si="40"/>
        <v/>
      </c>
      <c r="FE35" s="42"/>
      <c r="FF35" s="3"/>
      <c r="FG35" s="37" t="str">
        <f t="shared" si="41"/>
        <v/>
      </c>
      <c r="FH35" s="3"/>
      <c r="FI35" s="3"/>
    </row>
    <row r="36" spans="2:165" ht="285.95" hidden="1">
      <c r="B36" s="3" t="s">
        <v>1951</v>
      </c>
      <c r="C36" s="3" t="s">
        <v>1865</v>
      </c>
      <c r="D36" s="3" t="s">
        <v>287</v>
      </c>
      <c r="E36" s="4" t="s">
        <v>313</v>
      </c>
      <c r="F36" s="4">
        <v>5</v>
      </c>
      <c r="G36" s="123" t="str">
        <f t="shared" si="0"/>
        <v>○
[P・Q]
○・○</v>
      </c>
      <c r="H36" s="123" t="str">
        <f t="shared" si="1"/>
        <v>×
[P・Q]
○・×</v>
      </c>
      <c r="I36" s="123" t="str">
        <f t="shared" si="2"/>
        <v>×
[P・Q]
○・×</v>
      </c>
      <c r="J36" s="123" t="str">
        <f t="shared" si="3"/>
        <v>×
[P・Q]
○・--</v>
      </c>
      <c r="K36" s="123" t="str">
        <f t="shared" si="4"/>
        <v>×
[P・Q]
○・--</v>
      </c>
      <c r="L36" s="123" t="str">
        <f t="shared" si="5"/>
        <v/>
      </c>
      <c r="M36" s="123" t="str">
        <f t="shared" si="6"/>
        <v/>
      </c>
      <c r="N36" s="123" t="str">
        <f t="shared" si="7"/>
        <v/>
      </c>
      <c r="O36" s="123" t="str">
        <f t="shared" si="44"/>
        <v/>
      </c>
      <c r="P36" s="123" t="str">
        <f t="shared" si="8"/>
        <v/>
      </c>
      <c r="Q36" s="123" t="str">
        <f t="shared" si="9"/>
        <v/>
      </c>
      <c r="R36" s="123" t="str">
        <f t="shared" si="10"/>
        <v/>
      </c>
      <c r="S36" s="76">
        <f t="shared" si="11"/>
        <v>0.8</v>
      </c>
      <c r="T36" s="4">
        <v>5</v>
      </c>
      <c r="U36" s="4">
        <v>5</v>
      </c>
      <c r="V36" s="4">
        <v>5</v>
      </c>
      <c r="W36" s="4">
        <v>5</v>
      </c>
      <c r="X36" s="77">
        <f t="shared" si="12"/>
        <v>37.5</v>
      </c>
      <c r="Y36" s="77">
        <f t="shared" si="13"/>
        <v>7.5</v>
      </c>
      <c r="Z36" s="77" cm="1">
        <f t="array" ref="Z36">_xlfn.IFS(S36&gt;=0.8,5,S36&gt;=0.6,3,S36&gt;=0.2,1,S36&lt;0.2,0)</f>
        <v>5</v>
      </c>
      <c r="AA36" s="140">
        <f t="shared" ref="AA36:AA37" si="81">SUM(T36:Z36)</f>
        <v>70</v>
      </c>
      <c r="AB36" s="5"/>
      <c r="AC36" s="5" t="s">
        <v>1942</v>
      </c>
      <c r="AD36" s="5"/>
      <c r="AE36" s="5"/>
      <c r="AF36" s="5"/>
      <c r="AG36" s="5" t="s">
        <v>1952</v>
      </c>
      <c r="AH36" s="464"/>
      <c r="AI36" s="205">
        <f>IFERROR(AVERAGE(AX36,BH36,BR36,CB36,CL36,CV36,DF36,DP36,DZ36,EJ36)," ")</f>
        <v>0.79625271276118736</v>
      </c>
      <c r="AJ36" s="206">
        <f>IFERROR(AVERAGE(BA36,BK36,BU36,CE36,CO36,CY36,DI36,DS36,EC36,EM36)," ")</f>
        <v>10.628836900613905</v>
      </c>
      <c r="AK36" s="80" t="str">
        <f>IFERROR(IF(AI36&gt;=0.6,"HIGH","LOW"),"")</f>
        <v>HIGH</v>
      </c>
      <c r="AL36" s="80" t="str">
        <f>IFERROR(IF(AJ36&lt;=8,"HIGH","LOW"),"")</f>
        <v>LOW</v>
      </c>
      <c r="AM36" s="5" t="s">
        <v>1944</v>
      </c>
      <c r="AN36" s="448" t="s">
        <v>1953</v>
      </c>
      <c r="AO36" s="126" t="str">
        <f>IF(AND(AA36&gt;Summary!$C$5, AA36&lt;=Summary!$D$5),Summary!$B$5,IF(AND(AA36&gt;Summary!$C$6, AA36&lt;=Summary!$D$6),Summary!$B$6,IF(AND(AA36&gt;Summary!$C$7, AA36&lt;=Summary!$D$7),Summary!$B$7,Summary!$B$8)))</f>
        <v>○</v>
      </c>
      <c r="AP36" s="126" t="s">
        <v>168</v>
      </c>
      <c r="AQ36" s="126" t="s">
        <v>168</v>
      </c>
      <c r="AR36" s="126" t="s">
        <v>1401</v>
      </c>
      <c r="AS36" s="29" t="s">
        <v>1810</v>
      </c>
      <c r="AT36" s="469" t="s">
        <v>1954</v>
      </c>
      <c r="AU36" s="4" t="s">
        <v>168</v>
      </c>
      <c r="AV36" s="6">
        <v>10.4</v>
      </c>
      <c r="AW36" s="6">
        <v>16.8</v>
      </c>
      <c r="AX36" s="33">
        <f t="shared" ref="AX36:AX37" si="82">IF(AW36="","",AV36/AW36)</f>
        <v>0.61904761904761907</v>
      </c>
      <c r="AY36" s="42">
        <v>0.3</v>
      </c>
      <c r="AZ36" s="3">
        <v>2</v>
      </c>
      <c r="BA36" s="37">
        <f t="shared" ref="BA36:BA37" si="83">IF(AZ36="","",AZ36/AY36)</f>
        <v>6.666666666666667</v>
      </c>
      <c r="BB36" s="3">
        <v>2</v>
      </c>
      <c r="BC36" s="3">
        <v>2</v>
      </c>
      <c r="BD36" s="80" t="s">
        <v>1955</v>
      </c>
      <c r="BE36" s="4" t="s">
        <v>168</v>
      </c>
      <c r="BF36" s="6">
        <v>10.4</v>
      </c>
      <c r="BG36" s="6">
        <v>16</v>
      </c>
      <c r="BH36" s="33">
        <f t="shared" ref="BH36:BH37" si="84">IF(BG36="","",BF36/BG36)</f>
        <v>0.65</v>
      </c>
      <c r="BI36" s="42">
        <v>0.14699999999999999</v>
      </c>
      <c r="BJ36" s="3">
        <v>2</v>
      </c>
      <c r="BK36" s="37">
        <f t="shared" ref="BK36:BK37" si="85">IF(BJ36="","",BJ36/BI36)</f>
        <v>13.605442176870749</v>
      </c>
      <c r="BL36" s="3">
        <v>2</v>
      </c>
      <c r="BM36" s="3">
        <v>2</v>
      </c>
      <c r="BN36" s="80" t="s">
        <v>1956</v>
      </c>
      <c r="BO36" s="4" t="s">
        <v>168</v>
      </c>
      <c r="BP36" s="6">
        <v>15.2</v>
      </c>
      <c r="BQ36" s="6">
        <v>23.6</v>
      </c>
      <c r="BR36" s="33">
        <f t="shared" ref="BR36:BR37" si="86">IF(BQ36="","",BP36/BQ36)</f>
        <v>0.64406779661016944</v>
      </c>
      <c r="BS36" s="42">
        <v>0.86099999999999999</v>
      </c>
      <c r="BT36" s="3">
        <v>10</v>
      </c>
      <c r="BU36" s="37">
        <f t="shared" ref="BU36:BU37" si="87">IF(BT36="","",BT36/BS36)</f>
        <v>11.614401858304298</v>
      </c>
      <c r="BV36" s="3">
        <v>10</v>
      </c>
      <c r="BW36" s="3">
        <v>10</v>
      </c>
      <c r="BX36" s="468" t="s">
        <v>1957</v>
      </c>
      <c r="BY36" s="4" t="s">
        <v>168</v>
      </c>
      <c r="BZ36" s="6">
        <v>22.4</v>
      </c>
      <c r="CA36" s="6">
        <v>21.6</v>
      </c>
      <c r="CB36" s="33">
        <f t="shared" ref="CB36:CB37" si="88">IF(CA36="","",BZ36/CA36)</f>
        <v>1.037037037037037</v>
      </c>
      <c r="CC36" s="42">
        <v>0.752</v>
      </c>
      <c r="CD36" s="3"/>
      <c r="CE36" s="37" t="str">
        <f t="shared" ref="CE36:CE37" si="89">IF(CD36="","",CD36/CC36)</f>
        <v/>
      </c>
      <c r="CF36" s="3"/>
      <c r="CG36" s="3"/>
      <c r="CH36" s="80" t="s">
        <v>1958</v>
      </c>
      <c r="CI36" s="4"/>
      <c r="CJ36" s="6">
        <v>23.2</v>
      </c>
      <c r="CK36" s="6">
        <v>22.5</v>
      </c>
      <c r="CL36" s="33">
        <f t="shared" ref="CL36:CL37" si="90">IF(CK36="","",CJ36/CK36)</f>
        <v>1.0311111111111111</v>
      </c>
      <c r="CM36" s="42">
        <v>0.97399999999999998</v>
      </c>
      <c r="CN36" s="3"/>
      <c r="CO36" s="37" t="str">
        <f t="shared" ref="CO36:CO37" si="91">IF(CN36="","",CN36/CM36)</f>
        <v/>
      </c>
      <c r="CP36" s="3"/>
      <c r="CQ36" s="3"/>
      <c r="CR36" s="4"/>
      <c r="CS36" s="4"/>
      <c r="CT36" s="6"/>
      <c r="CU36" s="6"/>
      <c r="CV36" s="33" t="str">
        <f t="shared" ref="CV36:CV37" si="92">IF(CU36="","",CT36/CU36)</f>
        <v/>
      </c>
      <c r="CW36" s="42"/>
      <c r="CX36" s="3"/>
      <c r="CY36" s="37" t="str">
        <f t="shared" ref="CY36:CY37" si="93">IF(CX36="","",CX36/CW36)</f>
        <v/>
      </c>
      <c r="CZ36" s="3"/>
      <c r="DA36" s="3"/>
      <c r="DB36" s="4"/>
      <c r="DC36" s="4"/>
      <c r="DD36" s="6"/>
      <c r="DE36" s="6"/>
      <c r="DF36" s="33" t="str">
        <f t="shared" ref="DF36:DF37" si="94">IF(DE36="","",DD36/DE36)</f>
        <v/>
      </c>
      <c r="DG36" s="42"/>
      <c r="DH36" s="3"/>
      <c r="DI36" s="37" t="str">
        <f t="shared" ref="DI36:DI37" si="95">IF(DH36="","",DH36/DG36)</f>
        <v/>
      </c>
      <c r="DJ36" s="3"/>
      <c r="DK36" s="3"/>
      <c r="DL36" s="4"/>
      <c r="DM36" s="4"/>
      <c r="DN36" s="6"/>
      <c r="DO36" s="6"/>
      <c r="DP36" s="33" t="str">
        <f t="shared" ref="DP36:DP37" si="96">IF(DO36="","",DN36/DO36)</f>
        <v/>
      </c>
      <c r="DQ36" s="42"/>
      <c r="DR36" s="3"/>
      <c r="DS36" s="37" t="str">
        <f t="shared" ref="DS36:DS37" si="97">IF(DR36="","",DR36/DQ36)</f>
        <v/>
      </c>
      <c r="DT36" s="3"/>
      <c r="DU36" s="3"/>
      <c r="DV36" s="4"/>
      <c r="DW36" s="4"/>
      <c r="DX36" s="6"/>
      <c r="DY36" s="6"/>
      <c r="DZ36" s="33" t="str">
        <f t="shared" ref="DZ36:DZ37" si="98">IF(DY36="","",DX36/DY36)</f>
        <v/>
      </c>
      <c r="EA36" s="42"/>
      <c r="EB36" s="3"/>
      <c r="EC36" s="37" t="str">
        <f t="shared" ref="EC36:EC37" si="99">IF(EB36="","",EB36/EA36)</f>
        <v/>
      </c>
      <c r="ED36" s="3"/>
      <c r="EE36" s="3"/>
      <c r="EF36" s="4"/>
      <c r="EG36" s="4"/>
      <c r="EH36" s="6"/>
      <c r="EI36" s="6"/>
      <c r="EJ36" s="33" t="str">
        <f t="shared" ref="EJ36:EJ37" si="100">IF(EI36="","",EH36/EI36)</f>
        <v/>
      </c>
      <c r="EK36" s="42"/>
      <c r="EL36" s="3"/>
      <c r="EM36" s="37" t="str">
        <f t="shared" ref="EM36:EM37" si="101">IF(EL36="","",EL36/EK36)</f>
        <v/>
      </c>
      <c r="EN36" s="3"/>
      <c r="EO36" s="3"/>
      <c r="EP36" s="4"/>
      <c r="EQ36" s="4"/>
      <c r="ER36" s="6"/>
      <c r="ES36" s="6"/>
      <c r="ET36" s="33" t="str">
        <f t="shared" ref="ET36:ET37" si="102">IF(ES36="","",ER36/ES36)</f>
        <v/>
      </c>
      <c r="EU36" s="42"/>
      <c r="EV36" s="3"/>
      <c r="EW36" s="37" t="str">
        <f t="shared" ref="EW36:EW37" si="103">IF(EV36="","",EV36/EU36)</f>
        <v/>
      </c>
      <c r="EX36" s="3"/>
      <c r="EY36" s="3"/>
      <c r="EZ36" s="4"/>
      <c r="FA36" s="4"/>
      <c r="FB36" s="6"/>
      <c r="FC36" s="6"/>
      <c r="FD36" s="33" t="str">
        <f t="shared" ref="FD36:FD37" si="104">IF(FC36="","",FB36/FC36)</f>
        <v/>
      </c>
      <c r="FE36" s="42"/>
      <c r="FF36" s="3"/>
      <c r="FG36" s="37" t="str">
        <f t="shared" ref="FG36:FG37" si="105">IF(FF36="","",FF36/FE36)</f>
        <v/>
      </c>
      <c r="FH36" s="3"/>
      <c r="FI36" s="3"/>
    </row>
    <row r="37" spans="2:165" ht="42" hidden="1" customHeight="1">
      <c r="B37" s="3"/>
      <c r="C37" s="3"/>
      <c r="D37" s="3"/>
      <c r="E37" s="3"/>
      <c r="F37" s="4"/>
      <c r="G37" s="123" t="str">
        <f t="shared" si="0"/>
        <v/>
      </c>
      <c r="H37" s="123" t="str">
        <f t="shared" si="1"/>
        <v/>
      </c>
      <c r="I37" s="123" t="str">
        <f t="shared" si="2"/>
        <v/>
      </c>
      <c r="J37" s="123" t="str">
        <f t="shared" si="3"/>
        <v/>
      </c>
      <c r="K37" s="123" t="str">
        <f t="shared" si="4"/>
        <v/>
      </c>
      <c r="L37" s="123" t="str">
        <f t="shared" si="5"/>
        <v/>
      </c>
      <c r="M37" s="123" t="str">
        <f t="shared" si="6"/>
        <v/>
      </c>
      <c r="N37" s="123" t="str">
        <f t="shared" si="7"/>
        <v/>
      </c>
      <c r="O37" s="123" t="str">
        <f t="shared" si="44"/>
        <v/>
      </c>
      <c r="P37" s="123" t="str">
        <f t="shared" si="8"/>
        <v/>
      </c>
      <c r="Q37" s="123" t="str">
        <f t="shared" si="9"/>
        <v/>
      </c>
      <c r="R37" s="123" t="str">
        <f t="shared" si="10"/>
        <v/>
      </c>
      <c r="S37" s="76" t="e">
        <f t="shared" si="11"/>
        <v>#DIV/0!</v>
      </c>
      <c r="T37" s="4"/>
      <c r="U37" s="4"/>
      <c r="V37" s="4"/>
      <c r="W37" s="4"/>
      <c r="X37" s="77" t="e">
        <f t="shared" si="12"/>
        <v>#DIV/0!</v>
      </c>
      <c r="Y37" s="77" t="e">
        <f t="shared" si="13"/>
        <v>#DIV/0!</v>
      </c>
      <c r="Z37" s="77" t="e" cm="1">
        <f t="array" ref="Z37">_xlfn.IFS(S37&gt;=0.8,5,S37&gt;=0.6,3,S37&gt;=0.2,1,S37&lt;0.2,0)</f>
        <v>#DIV/0!</v>
      </c>
      <c r="AA37" s="55" t="e">
        <f t="shared" si="81"/>
        <v>#DIV/0!</v>
      </c>
      <c r="AB37" s="130"/>
      <c r="AC37" s="130"/>
      <c r="AD37" s="130"/>
      <c r="AE37" s="130"/>
      <c r="AF37" s="130"/>
      <c r="AG37" s="130"/>
      <c r="AH37" s="5"/>
      <c r="AI37" s="130"/>
      <c r="AJ37" s="130"/>
      <c r="AK37" s="130"/>
      <c r="AL37" s="130"/>
      <c r="AM37" s="163"/>
      <c r="AN37" s="130"/>
      <c r="AO37" s="458" t="e">
        <f>IF(AND(AA37&gt;Summary!$C$5, AA37&lt;=Summary!$D$5),Summary!$B$5,IF(AND(AA37&gt;Summary!$C$6, AA37&lt;=Summary!$D$6),Summary!$B$6,IF(AND(AA37&gt;Summary!$C$7, AA37&lt;=Summary!$D$7),Summary!$B$7,Summary!$B$8)))</f>
        <v>#DIV/0!</v>
      </c>
      <c r="AP37" s="151"/>
      <c r="AQ37" s="151"/>
      <c r="AR37" s="354"/>
      <c r="AS37" s="354"/>
      <c r="AT37" s="4"/>
      <c r="AU37" s="4"/>
      <c r="AV37" s="6"/>
      <c r="AW37" s="6"/>
      <c r="AX37" s="33" t="str">
        <f t="shared" si="82"/>
        <v/>
      </c>
      <c r="AY37" s="42"/>
      <c r="AZ37" s="3"/>
      <c r="BA37" s="37" t="str">
        <f t="shared" si="83"/>
        <v/>
      </c>
      <c r="BB37" s="3"/>
      <c r="BC37" s="3"/>
      <c r="BD37" s="4"/>
      <c r="BE37" s="4"/>
      <c r="BF37" s="6"/>
      <c r="BG37" s="6"/>
      <c r="BH37" s="33" t="str">
        <f t="shared" si="84"/>
        <v/>
      </c>
      <c r="BI37" s="42"/>
      <c r="BJ37" s="3"/>
      <c r="BK37" s="37" t="str">
        <f t="shared" si="85"/>
        <v/>
      </c>
      <c r="BL37" s="3"/>
      <c r="BM37" s="3"/>
      <c r="BN37" s="4"/>
      <c r="BO37" s="4"/>
      <c r="BP37" s="6"/>
      <c r="BQ37" s="6"/>
      <c r="BR37" s="33" t="str">
        <f t="shared" si="86"/>
        <v/>
      </c>
      <c r="BS37" s="42"/>
      <c r="BT37" s="3"/>
      <c r="BU37" s="37" t="str">
        <f t="shared" si="87"/>
        <v/>
      </c>
      <c r="BV37" s="3"/>
      <c r="BW37" s="3"/>
      <c r="BX37" s="4"/>
      <c r="BY37" s="4"/>
      <c r="BZ37" s="6"/>
      <c r="CA37" s="6"/>
      <c r="CB37" s="33" t="str">
        <f t="shared" si="88"/>
        <v/>
      </c>
      <c r="CC37" s="42"/>
      <c r="CD37" s="3"/>
      <c r="CE37" s="37" t="str">
        <f t="shared" si="89"/>
        <v/>
      </c>
      <c r="CF37" s="3"/>
      <c r="CG37" s="3"/>
      <c r="CH37" s="4"/>
      <c r="CI37" s="4"/>
      <c r="CJ37" s="6"/>
      <c r="CK37" s="6"/>
      <c r="CL37" s="33" t="str">
        <f t="shared" si="90"/>
        <v/>
      </c>
      <c r="CM37" s="42"/>
      <c r="CN37" s="3"/>
      <c r="CO37" s="37" t="str">
        <f t="shared" si="91"/>
        <v/>
      </c>
      <c r="CP37" s="3"/>
      <c r="CQ37" s="3"/>
      <c r="CR37" s="4"/>
      <c r="CS37" s="4"/>
      <c r="CT37" s="6"/>
      <c r="CU37" s="6"/>
      <c r="CV37" s="33" t="str">
        <f t="shared" si="92"/>
        <v/>
      </c>
      <c r="CW37" s="42"/>
      <c r="CX37" s="3"/>
      <c r="CY37" s="37" t="str">
        <f t="shared" si="93"/>
        <v/>
      </c>
      <c r="CZ37" s="3"/>
      <c r="DA37" s="3"/>
      <c r="DB37" s="4"/>
      <c r="DC37" s="4"/>
      <c r="DD37" s="6"/>
      <c r="DE37" s="6"/>
      <c r="DF37" s="33" t="str">
        <f t="shared" si="94"/>
        <v/>
      </c>
      <c r="DG37" s="42"/>
      <c r="DH37" s="3"/>
      <c r="DI37" s="37" t="str">
        <f t="shared" si="95"/>
        <v/>
      </c>
      <c r="DJ37" s="3"/>
      <c r="DK37" s="3"/>
      <c r="DL37" s="4"/>
      <c r="DM37" s="4"/>
      <c r="DN37" s="6"/>
      <c r="DO37" s="6"/>
      <c r="DP37" s="33" t="str">
        <f t="shared" si="96"/>
        <v/>
      </c>
      <c r="DQ37" s="42"/>
      <c r="DR37" s="3"/>
      <c r="DS37" s="37" t="str">
        <f t="shared" si="97"/>
        <v/>
      </c>
      <c r="DT37" s="3"/>
      <c r="DU37" s="3"/>
      <c r="DV37" s="4"/>
      <c r="DW37" s="4"/>
      <c r="DX37" s="6"/>
      <c r="DY37" s="6"/>
      <c r="DZ37" s="33" t="str">
        <f t="shared" si="98"/>
        <v/>
      </c>
      <c r="EA37" s="42"/>
      <c r="EB37" s="3"/>
      <c r="EC37" s="37" t="str">
        <f t="shared" si="99"/>
        <v/>
      </c>
      <c r="ED37" s="3"/>
      <c r="EE37" s="3"/>
      <c r="EF37" s="4"/>
      <c r="EG37" s="4"/>
      <c r="EH37" s="6"/>
      <c r="EI37" s="6"/>
      <c r="EJ37" s="33" t="str">
        <f t="shared" si="100"/>
        <v/>
      </c>
      <c r="EK37" s="42"/>
      <c r="EL37" s="3"/>
      <c r="EM37" s="37" t="str">
        <f t="shared" si="101"/>
        <v/>
      </c>
      <c r="EN37" s="3"/>
      <c r="EO37" s="3"/>
      <c r="EP37" s="4"/>
      <c r="EQ37" s="4"/>
      <c r="ER37" s="6"/>
      <c r="ES37" s="6"/>
      <c r="ET37" s="33" t="str">
        <f t="shared" si="102"/>
        <v/>
      </c>
      <c r="EU37" s="42"/>
      <c r="EV37" s="3"/>
      <c r="EW37" s="37" t="str">
        <f t="shared" si="103"/>
        <v/>
      </c>
      <c r="EX37" s="3"/>
      <c r="EY37" s="3"/>
      <c r="EZ37" s="4"/>
      <c r="FA37" s="4"/>
      <c r="FB37" s="6"/>
      <c r="FC37" s="6"/>
      <c r="FD37" s="33" t="str">
        <f t="shared" si="104"/>
        <v/>
      </c>
      <c r="FE37" s="42"/>
      <c r="FF37" s="3"/>
      <c r="FG37" s="37" t="str">
        <f t="shared" si="105"/>
        <v/>
      </c>
      <c r="FH37" s="3"/>
      <c r="FI37" s="3"/>
    </row>
    <row r="38" spans="2:165" ht="42" hidden="1" customHeight="1">
      <c r="B38" s="3"/>
      <c r="C38" s="3"/>
      <c r="D38" s="3"/>
      <c r="E38" s="3"/>
      <c r="F38" s="4"/>
      <c r="G38" s="123" t="str">
        <f t="shared" si="0"/>
        <v/>
      </c>
      <c r="H38" s="123" t="str">
        <f t="shared" si="1"/>
        <v/>
      </c>
      <c r="I38" s="123" t="str">
        <f t="shared" si="2"/>
        <v/>
      </c>
      <c r="J38" s="123" t="str">
        <f t="shared" si="3"/>
        <v/>
      </c>
      <c r="K38" s="123" t="str">
        <f t="shared" si="4"/>
        <v/>
      </c>
      <c r="L38" s="123" t="str">
        <f t="shared" si="5"/>
        <v/>
      </c>
      <c r="M38" s="123" t="str">
        <f t="shared" si="6"/>
        <v/>
      </c>
      <c r="N38" s="123" t="str">
        <f t="shared" si="7"/>
        <v/>
      </c>
      <c r="O38" s="123" t="str">
        <f t="shared" si="44"/>
        <v/>
      </c>
      <c r="P38" s="123" t="str">
        <f t="shared" si="8"/>
        <v/>
      </c>
      <c r="Q38" s="123" t="str">
        <f t="shared" si="9"/>
        <v/>
      </c>
      <c r="R38" s="123" t="str">
        <f t="shared" si="10"/>
        <v/>
      </c>
      <c r="S38" s="76" t="e">
        <f t="shared" si="11"/>
        <v>#DIV/0!</v>
      </c>
      <c r="T38" s="4"/>
      <c r="U38" s="4"/>
      <c r="V38" s="4"/>
      <c r="W38" s="4"/>
      <c r="X38" s="77" t="e">
        <f t="shared" si="12"/>
        <v>#DIV/0!</v>
      </c>
      <c r="Y38" s="77" t="e">
        <f t="shared" si="13"/>
        <v>#DIV/0!</v>
      </c>
      <c r="Z38" s="77" t="e" cm="1">
        <f t="array" ref="Z38">_xlfn.IFS(S38&gt;=0.8,5,S38&gt;=0.6,3,S38&gt;=0.2,1,S38&lt;0.2,0)</f>
        <v>#DIV/0!</v>
      </c>
      <c r="AA38" s="55" t="e">
        <f t="shared" si="50"/>
        <v>#DIV/0!</v>
      </c>
      <c r="AB38" s="5"/>
      <c r="AC38" s="5"/>
      <c r="AD38" s="5"/>
      <c r="AE38" s="5"/>
      <c r="AF38" s="5"/>
      <c r="AG38" s="5"/>
      <c r="AH38" s="5"/>
      <c r="AI38" s="5"/>
      <c r="AJ38" s="5"/>
      <c r="AK38" s="5"/>
      <c r="AL38" s="5"/>
      <c r="AM38" s="228"/>
      <c r="AN38" s="130"/>
      <c r="AO38" s="126" t="e">
        <f>IF(AND(AA38&gt;Summary!$C$5, AA38&lt;=Summary!$D$5),Summary!$B$5,IF(AND(AA38&gt;Summary!$C$6, AA38&lt;=Summary!$D$6),Summary!$B$6,IF(AND(AA38&gt;Summary!$C$7, AA38&lt;=Summary!$D$7),Summary!$B$7,Summary!$B$8)))</f>
        <v>#DIV/0!</v>
      </c>
      <c r="AP38" s="14"/>
      <c r="AQ38" s="14"/>
      <c r="AR38" s="29"/>
      <c r="AS38" s="29"/>
      <c r="AT38" s="4"/>
      <c r="AU38" s="4"/>
      <c r="AV38" s="6"/>
      <c r="AW38" s="6"/>
      <c r="AX38" s="33" t="str">
        <f t="shared" si="18"/>
        <v/>
      </c>
      <c r="AY38" s="42"/>
      <c r="AZ38" s="3"/>
      <c r="BA38" s="37" t="str">
        <f t="shared" si="48"/>
        <v/>
      </c>
      <c r="BB38" s="3"/>
      <c r="BC38" s="3"/>
      <c r="BD38" s="4"/>
      <c r="BE38" s="4"/>
      <c r="BF38" s="6"/>
      <c r="BG38" s="6"/>
      <c r="BH38" s="33" t="str">
        <f t="shared" si="20"/>
        <v/>
      </c>
      <c r="BI38" s="42"/>
      <c r="BJ38" s="3"/>
      <c r="BK38" s="37" t="str">
        <f t="shared" si="21"/>
        <v/>
      </c>
      <c r="BL38" s="3"/>
      <c r="BM38" s="3"/>
      <c r="BN38" s="4"/>
      <c r="BO38" s="4"/>
      <c r="BP38" s="6"/>
      <c r="BQ38" s="6"/>
      <c r="BR38" s="33" t="str">
        <f t="shared" si="22"/>
        <v/>
      </c>
      <c r="BS38" s="42"/>
      <c r="BT38" s="3"/>
      <c r="BU38" s="37" t="str">
        <f t="shared" si="23"/>
        <v/>
      </c>
      <c r="BV38" s="3"/>
      <c r="BW38" s="3"/>
      <c r="BX38" s="4"/>
      <c r="BY38" s="4"/>
      <c r="BZ38" s="6"/>
      <c r="CA38" s="6"/>
      <c r="CB38" s="33" t="str">
        <f t="shared" si="24"/>
        <v/>
      </c>
      <c r="CC38" s="42"/>
      <c r="CD38" s="3"/>
      <c r="CE38" s="37" t="str">
        <f t="shared" si="80"/>
        <v/>
      </c>
      <c r="CF38" s="3"/>
      <c r="CG38" s="3"/>
      <c r="CH38" s="4"/>
      <c r="CI38" s="4"/>
      <c r="CJ38" s="6"/>
      <c r="CK38" s="6"/>
      <c r="CL38" s="33" t="str">
        <f t="shared" si="49"/>
        <v/>
      </c>
      <c r="CM38" s="42"/>
      <c r="CN38" s="3"/>
      <c r="CO38" s="37" t="str">
        <f t="shared" si="27"/>
        <v/>
      </c>
      <c r="CP38" s="3"/>
      <c r="CQ38" s="3"/>
      <c r="CR38" s="4"/>
      <c r="CS38" s="4"/>
      <c r="CT38" s="6"/>
      <c r="CU38" s="6"/>
      <c r="CV38" s="33" t="str">
        <f t="shared" si="28"/>
        <v/>
      </c>
      <c r="CW38" s="42"/>
      <c r="CX38" s="3"/>
      <c r="CY38" s="37" t="str">
        <f t="shared" si="29"/>
        <v/>
      </c>
      <c r="CZ38" s="3"/>
      <c r="DA38" s="3"/>
      <c r="DB38" s="4"/>
      <c r="DC38" s="4"/>
      <c r="DD38" s="6"/>
      <c r="DE38" s="6"/>
      <c r="DF38" s="33" t="str">
        <f t="shared" si="30"/>
        <v/>
      </c>
      <c r="DG38" s="42"/>
      <c r="DH38" s="3"/>
      <c r="DI38" s="37" t="str">
        <f t="shared" si="31"/>
        <v/>
      </c>
      <c r="DJ38" s="3"/>
      <c r="DK38" s="3"/>
      <c r="DL38" s="4"/>
      <c r="DM38" s="4"/>
      <c r="DN38" s="6"/>
      <c r="DO38" s="6"/>
      <c r="DP38" s="33" t="str">
        <f t="shared" si="32"/>
        <v/>
      </c>
      <c r="DQ38" s="42"/>
      <c r="DR38" s="3"/>
      <c r="DS38" s="37" t="str">
        <f t="shared" si="33"/>
        <v/>
      </c>
      <c r="DT38" s="3"/>
      <c r="DU38" s="3"/>
      <c r="DV38" s="4"/>
      <c r="DW38" s="4"/>
      <c r="DX38" s="6"/>
      <c r="DY38" s="6"/>
      <c r="DZ38" s="33" t="str">
        <f t="shared" si="34"/>
        <v/>
      </c>
      <c r="EA38" s="42"/>
      <c r="EB38" s="3"/>
      <c r="EC38" s="37" t="str">
        <f t="shared" si="35"/>
        <v/>
      </c>
      <c r="ED38" s="3"/>
      <c r="EE38" s="3"/>
      <c r="EF38" s="4"/>
      <c r="EG38" s="4"/>
      <c r="EH38" s="6"/>
      <c r="EI38" s="6"/>
      <c r="EJ38" s="33" t="str">
        <f t="shared" si="36"/>
        <v/>
      </c>
      <c r="EK38" s="42"/>
      <c r="EL38" s="3"/>
      <c r="EM38" s="37" t="str">
        <f t="shared" si="37"/>
        <v/>
      </c>
      <c r="EN38" s="3"/>
      <c r="EO38" s="3"/>
      <c r="EP38" s="4"/>
      <c r="EQ38" s="4"/>
      <c r="ER38" s="6"/>
      <c r="ES38" s="6"/>
      <c r="ET38" s="33" t="str">
        <f t="shared" si="38"/>
        <v/>
      </c>
      <c r="EU38" s="42"/>
      <c r="EV38" s="3"/>
      <c r="EW38" s="37" t="str">
        <f t="shared" si="39"/>
        <v/>
      </c>
      <c r="EX38" s="3"/>
      <c r="EY38" s="3"/>
      <c r="EZ38" s="4"/>
      <c r="FA38" s="4"/>
      <c r="FB38" s="6"/>
      <c r="FC38" s="6"/>
      <c r="FD38" s="33" t="str">
        <f t="shared" si="40"/>
        <v/>
      </c>
      <c r="FE38" s="42"/>
      <c r="FF38" s="3"/>
      <c r="FG38" s="37" t="str">
        <f t="shared" si="41"/>
        <v/>
      </c>
      <c r="FH38" s="3"/>
      <c r="FI38" s="3"/>
    </row>
    <row r="39" spans="2:165" ht="42" hidden="1" customHeight="1">
      <c r="B39" s="3"/>
      <c r="C39" s="3"/>
      <c r="D39" s="3"/>
      <c r="E39" s="3"/>
      <c r="F39" s="4"/>
      <c r="G39" s="123" t="str">
        <f t="shared" si="0"/>
        <v/>
      </c>
      <c r="H39" s="123" t="str">
        <f t="shared" si="1"/>
        <v/>
      </c>
      <c r="I39" s="123" t="str">
        <f t="shared" si="2"/>
        <v/>
      </c>
      <c r="J39" s="123" t="str">
        <f t="shared" si="3"/>
        <v/>
      </c>
      <c r="K39" s="123" t="str">
        <f t="shared" si="4"/>
        <v/>
      </c>
      <c r="L39" s="123" t="str">
        <f t="shared" si="5"/>
        <v/>
      </c>
      <c r="M39" s="123" t="str">
        <f t="shared" si="6"/>
        <v/>
      </c>
      <c r="N39" s="123" t="str">
        <f t="shared" si="7"/>
        <v/>
      </c>
      <c r="O39" s="123" t="str">
        <f t="shared" si="44"/>
        <v/>
      </c>
      <c r="P39" s="123" t="str">
        <f t="shared" si="8"/>
        <v/>
      </c>
      <c r="Q39" s="123" t="str">
        <f t="shared" si="9"/>
        <v/>
      </c>
      <c r="R39" s="123" t="str">
        <f t="shared" si="10"/>
        <v/>
      </c>
      <c r="S39" s="76" t="e">
        <f t="shared" si="11"/>
        <v>#DIV/0!</v>
      </c>
      <c r="T39" s="4"/>
      <c r="U39" s="4"/>
      <c r="V39" s="4"/>
      <c r="W39" s="4"/>
      <c r="X39" s="77" t="e">
        <f t="shared" si="12"/>
        <v>#DIV/0!</v>
      </c>
      <c r="Y39" s="77" t="e">
        <f t="shared" si="13"/>
        <v>#DIV/0!</v>
      </c>
      <c r="Z39" s="77" t="e" cm="1">
        <f t="array" ref="Z39">_xlfn.IFS(S39&gt;=0.8,5,S39&gt;=0.6,3,S39&gt;=0.2,1,S39&lt;0.2,0)</f>
        <v>#DIV/0!</v>
      </c>
      <c r="AA39" s="55" t="e">
        <f t="shared" si="50"/>
        <v>#DIV/0!</v>
      </c>
      <c r="AB39" s="5"/>
      <c r="AC39" s="5"/>
      <c r="AD39" s="5"/>
      <c r="AE39" s="5"/>
      <c r="AF39" s="5"/>
      <c r="AG39" s="5"/>
      <c r="AH39" s="5"/>
      <c r="AI39" s="5"/>
      <c r="AJ39" s="5"/>
      <c r="AK39" s="5"/>
      <c r="AL39" s="5"/>
      <c r="AM39" s="228"/>
      <c r="AN39" s="130"/>
      <c r="AO39" s="126" t="e">
        <f>IF(AND(AA39&gt;Summary!$C$5, AA39&lt;=Summary!$D$5),Summary!$B$5,IF(AND(AA39&gt;Summary!$C$6, AA39&lt;=Summary!$D$6),Summary!$B$6,IF(AND(AA39&gt;Summary!$C$7, AA39&lt;=Summary!$D$7),Summary!$B$7,Summary!$B$8)))</f>
        <v>#DIV/0!</v>
      </c>
      <c r="AP39" s="14"/>
      <c r="AQ39" s="14"/>
      <c r="AR39" s="29"/>
      <c r="AS39" s="29"/>
      <c r="AT39" s="4"/>
      <c r="AU39" s="4"/>
      <c r="AV39" s="6"/>
      <c r="AW39" s="6"/>
      <c r="AX39" s="33" t="str">
        <f t="shared" si="18"/>
        <v/>
      </c>
      <c r="AY39" s="42"/>
      <c r="AZ39" s="3"/>
      <c r="BA39" s="37" t="str">
        <f t="shared" si="48"/>
        <v/>
      </c>
      <c r="BB39" s="3"/>
      <c r="BC39" s="3"/>
      <c r="BD39" s="4"/>
      <c r="BE39" s="4"/>
      <c r="BF39" s="6"/>
      <c r="BG39" s="6"/>
      <c r="BH39" s="33" t="str">
        <f t="shared" si="20"/>
        <v/>
      </c>
      <c r="BI39" s="42"/>
      <c r="BJ39" s="3"/>
      <c r="BK39" s="37" t="str">
        <f t="shared" si="21"/>
        <v/>
      </c>
      <c r="BL39" s="3"/>
      <c r="BM39" s="3"/>
      <c r="BN39" s="4"/>
      <c r="BO39" s="4"/>
      <c r="BP39" s="6"/>
      <c r="BQ39" s="6"/>
      <c r="BR39" s="33" t="str">
        <f t="shared" si="22"/>
        <v/>
      </c>
      <c r="BS39" s="42"/>
      <c r="BT39" s="3"/>
      <c r="BU39" s="37" t="str">
        <f t="shared" si="23"/>
        <v/>
      </c>
      <c r="BV39" s="3"/>
      <c r="BW39" s="3"/>
      <c r="BX39" s="4"/>
      <c r="BY39" s="4"/>
      <c r="BZ39" s="6"/>
      <c r="CA39" s="6"/>
      <c r="CB39" s="33" t="str">
        <f t="shared" si="24"/>
        <v/>
      </c>
      <c r="CC39" s="42"/>
      <c r="CD39" s="3"/>
      <c r="CE39" s="37" t="str">
        <f t="shared" si="80"/>
        <v/>
      </c>
      <c r="CF39" s="3"/>
      <c r="CG39" s="3"/>
      <c r="CH39" s="4"/>
      <c r="CI39" s="4"/>
      <c r="CJ39" s="6"/>
      <c r="CK39" s="6"/>
      <c r="CL39" s="33" t="str">
        <f t="shared" si="49"/>
        <v/>
      </c>
      <c r="CM39" s="42"/>
      <c r="CN39" s="3"/>
      <c r="CO39" s="37" t="str">
        <f t="shared" si="27"/>
        <v/>
      </c>
      <c r="CP39" s="3"/>
      <c r="CQ39" s="3"/>
      <c r="CR39" s="4"/>
      <c r="CS39" s="4"/>
      <c r="CT39" s="6"/>
      <c r="CU39" s="6"/>
      <c r="CV39" s="33" t="str">
        <f t="shared" si="28"/>
        <v/>
      </c>
      <c r="CW39" s="42"/>
      <c r="CX39" s="3"/>
      <c r="CY39" s="37" t="str">
        <f t="shared" si="29"/>
        <v/>
      </c>
      <c r="CZ39" s="3"/>
      <c r="DA39" s="3"/>
      <c r="DB39" s="4"/>
      <c r="DC39" s="4"/>
      <c r="DD39" s="6"/>
      <c r="DE39" s="6"/>
      <c r="DF39" s="33" t="str">
        <f t="shared" si="30"/>
        <v/>
      </c>
      <c r="DG39" s="42"/>
      <c r="DH39" s="3"/>
      <c r="DI39" s="37" t="str">
        <f t="shared" si="31"/>
        <v/>
      </c>
      <c r="DJ39" s="3"/>
      <c r="DK39" s="3"/>
      <c r="DL39" s="4"/>
      <c r="DM39" s="4"/>
      <c r="DN39" s="6"/>
      <c r="DO39" s="6"/>
      <c r="DP39" s="33" t="str">
        <f t="shared" si="32"/>
        <v/>
      </c>
      <c r="DQ39" s="42"/>
      <c r="DR39" s="3"/>
      <c r="DS39" s="37" t="str">
        <f t="shared" si="33"/>
        <v/>
      </c>
      <c r="DT39" s="3"/>
      <c r="DU39" s="3"/>
      <c r="DV39" s="4"/>
      <c r="DW39" s="4"/>
      <c r="DX39" s="6"/>
      <c r="DY39" s="6"/>
      <c r="DZ39" s="33" t="str">
        <f t="shared" si="34"/>
        <v/>
      </c>
      <c r="EA39" s="42"/>
      <c r="EB39" s="3"/>
      <c r="EC39" s="37" t="str">
        <f t="shared" si="35"/>
        <v/>
      </c>
      <c r="ED39" s="3"/>
      <c r="EE39" s="3"/>
      <c r="EF39" s="4"/>
      <c r="EG39" s="4"/>
      <c r="EH39" s="6"/>
      <c r="EI39" s="6"/>
      <c r="EJ39" s="33" t="str">
        <f t="shared" si="36"/>
        <v/>
      </c>
      <c r="EK39" s="42"/>
      <c r="EL39" s="3"/>
      <c r="EM39" s="37" t="str">
        <f t="shared" si="37"/>
        <v/>
      </c>
      <c r="EN39" s="3"/>
      <c r="EO39" s="3"/>
      <c r="EP39" s="4"/>
      <c r="EQ39" s="4"/>
      <c r="ER39" s="6"/>
      <c r="ES39" s="6"/>
      <c r="ET39" s="33" t="str">
        <f t="shared" si="38"/>
        <v/>
      </c>
      <c r="EU39" s="42"/>
      <c r="EV39" s="3"/>
      <c r="EW39" s="37" t="str">
        <f t="shared" si="39"/>
        <v/>
      </c>
      <c r="EX39" s="3"/>
      <c r="EY39" s="3"/>
      <c r="EZ39" s="4"/>
      <c r="FA39" s="4"/>
      <c r="FB39" s="6"/>
      <c r="FC39" s="6"/>
      <c r="FD39" s="33" t="str">
        <f t="shared" si="40"/>
        <v/>
      </c>
      <c r="FE39" s="42"/>
      <c r="FF39" s="3"/>
      <c r="FG39" s="37" t="str">
        <f t="shared" si="41"/>
        <v/>
      </c>
      <c r="FH39" s="3"/>
      <c r="FI39" s="3"/>
    </row>
    <row r="40" spans="2:165">
      <c r="F40" s="52"/>
      <c r="T40" s="52"/>
      <c r="U40" s="52"/>
      <c r="V40" s="52"/>
      <c r="W40" s="52"/>
      <c r="X40" s="52"/>
      <c r="Y40" s="52"/>
      <c r="Z40" s="52"/>
      <c r="AA40" s="52"/>
      <c r="AS40" s="5"/>
    </row>
    <row r="41" spans="2:165" ht="42" customHeight="1">
      <c r="B41" s="27"/>
      <c r="C41" s="27"/>
      <c r="D41" s="27"/>
      <c r="E41" s="27"/>
      <c r="F41" s="28"/>
      <c r="G41" s="28" t="s">
        <v>182</v>
      </c>
      <c r="H41" s="28" t="s">
        <v>182</v>
      </c>
      <c r="I41" s="28" t="s">
        <v>182</v>
      </c>
      <c r="J41" s="28" t="s">
        <v>182</v>
      </c>
      <c r="K41" s="28" t="s">
        <v>182</v>
      </c>
      <c r="L41" s="28" t="s">
        <v>182</v>
      </c>
      <c r="M41" s="28" t="s">
        <v>182</v>
      </c>
      <c r="N41" s="28" t="s">
        <v>182</v>
      </c>
      <c r="O41" s="28" t="s">
        <v>182</v>
      </c>
      <c r="P41" s="28" t="s">
        <v>182</v>
      </c>
      <c r="Q41" s="28" t="s">
        <v>182</v>
      </c>
      <c r="R41" s="28" t="s">
        <v>182</v>
      </c>
      <c r="S41" s="28" t="s">
        <v>182</v>
      </c>
      <c r="T41" s="28"/>
      <c r="U41" s="28"/>
      <c r="V41" s="28"/>
      <c r="W41" s="28"/>
      <c r="X41" s="28" t="s">
        <v>182</v>
      </c>
      <c r="Y41" s="28" t="s">
        <v>182</v>
      </c>
      <c r="Z41" s="28" t="s">
        <v>182</v>
      </c>
      <c r="AA41" s="28" t="s">
        <v>182</v>
      </c>
      <c r="AB41" s="29"/>
      <c r="AC41" s="29"/>
      <c r="AD41" s="29"/>
      <c r="AE41" s="29"/>
      <c r="AF41" s="29"/>
      <c r="AG41" s="29"/>
      <c r="AH41" s="29"/>
      <c r="AI41" s="29"/>
      <c r="AJ41" s="29"/>
      <c r="AK41" s="29"/>
      <c r="AL41" s="29"/>
      <c r="AM41" s="29"/>
      <c r="AN41" s="29"/>
      <c r="AO41" s="29"/>
      <c r="AP41" s="14"/>
      <c r="AQ41" s="44"/>
      <c r="AR41" s="44"/>
      <c r="AS41" s="44"/>
    </row>
    <row r="42" spans="2:165" ht="42" customHeight="1">
      <c r="B42" s="27"/>
      <c r="C42" s="27"/>
      <c r="D42" s="27"/>
      <c r="E42" s="27"/>
      <c r="F42" s="28"/>
      <c r="G42" s="28" t="s">
        <v>182</v>
      </c>
      <c r="H42" s="28" t="s">
        <v>182</v>
      </c>
      <c r="I42" s="28" t="s">
        <v>182</v>
      </c>
      <c r="J42" s="28" t="s">
        <v>182</v>
      </c>
      <c r="K42" s="28" t="s">
        <v>182</v>
      </c>
      <c r="L42" s="28" t="s">
        <v>182</v>
      </c>
      <c r="M42" s="28" t="s">
        <v>182</v>
      </c>
      <c r="N42" s="28" t="s">
        <v>182</v>
      </c>
      <c r="O42" s="28" t="s">
        <v>182</v>
      </c>
      <c r="P42" s="28" t="s">
        <v>182</v>
      </c>
      <c r="Q42" s="28" t="s">
        <v>182</v>
      </c>
      <c r="R42" s="28" t="s">
        <v>182</v>
      </c>
      <c r="S42" s="28" t="s">
        <v>182</v>
      </c>
      <c r="T42" s="28"/>
      <c r="U42" s="28"/>
      <c r="V42" s="28"/>
      <c r="W42" s="28"/>
      <c r="X42" s="28" t="s">
        <v>182</v>
      </c>
      <c r="Y42" s="28" t="s">
        <v>182</v>
      </c>
      <c r="Z42" s="28" t="s">
        <v>182</v>
      </c>
      <c r="AA42" s="28" t="s">
        <v>182</v>
      </c>
      <c r="AB42" s="29"/>
      <c r="AC42" s="29"/>
      <c r="AD42" s="29"/>
      <c r="AE42" s="29"/>
      <c r="AF42" s="29"/>
      <c r="AG42" s="29"/>
      <c r="AH42" s="29"/>
      <c r="AI42" s="29"/>
      <c r="AJ42" s="29"/>
      <c r="AK42" s="29"/>
      <c r="AL42" s="29"/>
      <c r="AM42" s="29"/>
      <c r="AN42" s="29"/>
      <c r="AO42" s="29"/>
      <c r="AP42" s="14"/>
      <c r="AQ42" s="44"/>
      <c r="AR42" s="44"/>
      <c r="AS42" s="44"/>
    </row>
    <row r="43" spans="2:165" ht="42" customHeight="1">
      <c r="B43" s="3"/>
      <c r="C43" s="27"/>
      <c r="D43" s="27"/>
      <c r="E43" s="27"/>
      <c r="F43" s="28"/>
      <c r="G43" s="4"/>
      <c r="H43" s="4"/>
      <c r="I43" s="4"/>
      <c r="J43" s="4"/>
      <c r="K43" s="4"/>
      <c r="L43" s="4"/>
      <c r="M43" s="4"/>
      <c r="N43" s="4"/>
      <c r="O43" s="4"/>
      <c r="P43" s="4"/>
      <c r="Q43" s="4"/>
      <c r="R43" s="4"/>
      <c r="S43" s="4"/>
      <c r="T43" s="28"/>
      <c r="U43" s="28"/>
      <c r="V43" s="28"/>
      <c r="W43" s="28"/>
      <c r="X43" s="28"/>
      <c r="Y43" s="28"/>
      <c r="Z43" s="28"/>
      <c r="AA43" s="28"/>
      <c r="AB43" s="5"/>
      <c r="AC43" s="5"/>
      <c r="AD43" s="5"/>
      <c r="AE43" s="5"/>
      <c r="AF43" s="5"/>
      <c r="AG43" s="5"/>
      <c r="AH43" s="5"/>
      <c r="AI43" s="5"/>
      <c r="AJ43" s="5"/>
      <c r="AK43" s="5"/>
      <c r="AL43" s="5"/>
      <c r="AM43" s="5"/>
      <c r="AN43" s="5"/>
      <c r="AO43" s="5"/>
      <c r="AP43" s="14"/>
      <c r="AQ43" s="44"/>
      <c r="AR43" s="44"/>
      <c r="AS43" s="44"/>
    </row>
  </sheetData>
  <autoFilter ref="B9:FI39" xr:uid="{B8D1D522-9189-46F9-AB4E-136B3A8DFFFE}">
    <filterColumn colId="1">
      <filters>
        <filter val="MY"/>
      </filters>
    </filterColumn>
    <filterColumn colId="2">
      <filters>
        <filter val="Jr"/>
      </filters>
    </filterColumn>
  </autoFilter>
  <mergeCells count="2">
    <mergeCell ref="AD8:AE8"/>
    <mergeCell ref="AF8:AG8"/>
  </mergeCells>
  <phoneticPr fontId="10"/>
  <conditionalFormatting sqref="AA10:AA39">
    <cfRule type="cellIs" dxfId="6" priority="21" operator="lessThan">
      <formula>60</formula>
    </cfRule>
  </conditionalFormatting>
  <conditionalFormatting sqref="AK10:AL25 AK27:AL36">
    <cfRule type="cellIs" dxfId="5" priority="1" operator="equal">
      <formula>"LOW"</formula>
    </cfRule>
    <cfRule type="cellIs" dxfId="4" priority="2" operator="equal">
      <formula>"HIGH"</formula>
    </cfRule>
  </conditionalFormatting>
  <conditionalFormatting sqref="AU10:AU39 BE10:BE39 BO10:BO39 BY10:BY39 CI10:CI39 CS10:CS39 DC10:DC39 DM10:DM39 DW10:DW39 EG10:EG39 EQ10:EQ39 FA10:FA39">
    <cfRule type="cellIs" dxfId="3" priority="29" operator="equal">
      <formula>"×"</formula>
    </cfRule>
  </conditionalFormatting>
  <conditionalFormatting sqref="AX10:AX39 BH10:BH39 BR10:BR39 CB10:CB39 CL10:CL39 CV10:CV39 DF10:DF39 DP10:DP39 DZ10:DZ39 EJ10:EJ39 ET10:ET39 FD10:FD39">
    <cfRule type="cellIs" dxfId="2" priority="40" operator="lessThan">
      <formula>0.6</formula>
    </cfRule>
  </conditionalFormatting>
  <conditionalFormatting sqref="BA10:BA39 BK10:BK39 BU10:BU39 CE10:CE39 CO10:CO39 CY10:CY39 DI10:DI39 DS10:DS39 EC10:EC39 EM10:EM39 EW10:EW39 FG10:FG39">
    <cfRule type="cellIs" dxfId="1" priority="38" operator="greaterThan">
      <formula>8</formula>
    </cfRule>
  </conditionalFormatting>
  <conditionalFormatting sqref="BC10:BC39 BM10:BM39 BW10:BW39 CG10:CG39 CQ10:CQ39 DA10:DA39 DK10:DK39 DU10:DU39 EE10:EE39 EO10:EO39 EY10:EY39 FI10:FI39">
    <cfRule type="cellIs" dxfId="0" priority="39" operator="notEqual">
      <formula>BB10</formula>
    </cfRule>
  </conditionalFormatting>
  <dataValidations count="3">
    <dataValidation type="list" allowBlank="1" showInputMessage="1" showErrorMessage="1" sqref="AF24 AD24 AP13:AP15 AP41:AS43 AP10:AP11 AQ10:AQ39 AP17:AP18 AP20:AP39" xr:uid="{A542230D-3562-4C72-8EA7-F65B74A0669C}">
      <formula1>"○,△,×"</formula1>
    </dataValidation>
    <dataValidation type="list" allowBlank="1" showInputMessage="1" showErrorMessage="1" sqref="FA10:FA39 EQ10:EQ39 EG10:EG39 DW10:DW39 DM10:DM39 DC10:DC39 CS10:CS39 CI10:CI39 AU10:AU39 BE10:BE39 BY10:BY39 BO10:BO39" xr:uid="{3353CC57-BF4B-4DDE-8DC2-AB6CAD4DB71E}">
      <formula1>"○,×"</formula1>
    </dataValidation>
    <dataValidation type="list" allowBlank="1" showInputMessage="1" showErrorMessage="1" sqref="AR10:AR36" xr:uid="{D626E7D4-6C9C-4375-B8BD-04DA72547DCC}">
      <formula1>"Pass,Release"</formula1>
    </dataValidation>
  </dataValidations>
  <pageMargins left="0.7" right="0.7" top="0.75" bottom="0.75" header="0.3" footer="0.3"/>
  <pageSetup paperSize="9" orientation="portrait" r:id="rId1"/>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422C-8ED7-44D8-833C-899B77E53A3C}">
  <dimension ref="B1:Q62"/>
  <sheetViews>
    <sheetView showGridLines="0" zoomScale="145" zoomScaleNormal="145" workbookViewId="0">
      <selection activeCell="M13" sqref="M13"/>
    </sheetView>
  </sheetViews>
  <sheetFormatPr defaultRowHeight="11.1"/>
  <cols>
    <col min="2" max="2" width="10.85546875" customWidth="1"/>
    <col min="3" max="4" width="6.140625" customWidth="1"/>
    <col min="5" max="5" width="7.28515625" bestFit="1" customWidth="1"/>
    <col min="6" max="7" width="6.140625" customWidth="1"/>
    <col min="10" max="10" width="10.85546875" customWidth="1"/>
    <col min="11" max="15" width="6.140625" customWidth="1"/>
    <col min="17" max="17" width="9" bestFit="1" customWidth="1"/>
    <col min="18" max="18" width="10.85546875" customWidth="1"/>
    <col min="19" max="27" width="6.140625" customWidth="1"/>
  </cols>
  <sheetData>
    <row r="1" spans="2:15" ht="13.9" customHeight="1" thickBot="1">
      <c r="B1" s="251" t="s">
        <v>1393</v>
      </c>
      <c r="J1" s="24" t="s">
        <v>1959</v>
      </c>
    </row>
    <row r="2" spans="2:15" ht="13.9" customHeight="1">
      <c r="B2" s="248"/>
      <c r="C2" s="249"/>
      <c r="D2" s="249"/>
      <c r="E2" s="533" t="s">
        <v>1381</v>
      </c>
      <c r="F2" s="533"/>
      <c r="J2" s="110" t="s">
        <v>1379</v>
      </c>
      <c r="K2" s="436" t="s">
        <v>1380</v>
      </c>
      <c r="L2" s="436"/>
      <c r="M2" s="600" t="s">
        <v>1381</v>
      </c>
      <c r="N2" s="600"/>
    </row>
    <row r="3" spans="2:15" ht="13.9" customHeight="1" thickBot="1">
      <c r="B3" s="260" t="s">
        <v>1395</v>
      </c>
      <c r="C3" s="16"/>
      <c r="D3" s="71"/>
      <c r="E3" s="252" t="s">
        <v>1775</v>
      </c>
      <c r="F3" s="253" t="s">
        <v>1865</v>
      </c>
      <c r="G3" t="s">
        <v>1391</v>
      </c>
      <c r="J3" s="118" t="s">
        <v>1382</v>
      </c>
      <c r="K3" s="119" t="s">
        <v>1383</v>
      </c>
      <c r="L3" s="119" t="s">
        <v>1384</v>
      </c>
      <c r="M3" s="441" t="s">
        <v>1775</v>
      </c>
      <c r="N3" s="120" t="s">
        <v>1865</v>
      </c>
      <c r="O3" t="s">
        <v>1391</v>
      </c>
    </row>
    <row r="4" spans="2:15" ht="13.9" customHeight="1" thickTop="1">
      <c r="B4" s="261">
        <v>45294</v>
      </c>
      <c r="C4" s="256"/>
      <c r="D4" s="256"/>
      <c r="E4" s="257">
        <f>'Transfer PRJ(Kira,Gelo,Mcl)'!AQ6</f>
        <v>16</v>
      </c>
      <c r="F4" s="258">
        <f>'Transfer PRJ(Kira,Gelo,Mcl)'!AQ7</f>
        <v>10</v>
      </c>
      <c r="G4" s="109">
        <f t="shared" ref="G4:G9" si="0">SUM(E4:F4)</f>
        <v>26</v>
      </c>
      <c r="I4" s="107"/>
      <c r="J4" s="115" t="s">
        <v>389</v>
      </c>
      <c r="K4" s="116">
        <v>70</v>
      </c>
      <c r="L4" s="116">
        <v>100</v>
      </c>
      <c r="M4" s="134">
        <f>COUNTIFS('Transfer PRJ(Kira,Gelo,Mcl)'!$AA$10:$AA$25,"&gt;"&amp;Summary_TransferPRJ!$K4, 'Transfer PRJ(Kira,Gelo,Mcl)'!$AA$10:$AA$25,"&lt;="&amp;Summary_TransferPRJ!$L4)</f>
        <v>0</v>
      </c>
      <c r="N4" s="135">
        <f>COUNTIFS('Transfer PRJ(Kira,Gelo,Mcl)'!$AA$27:$AA$36,"&gt;"&amp;Summary_TransferPRJ!$K4, 'Transfer PRJ(Kira,Gelo,Mcl)'!$AA$27:$AA$36,"&lt;="&amp;Summary_TransferPRJ!$L4)</f>
        <v>5</v>
      </c>
      <c r="O4" s="109">
        <f>SUM(M4:N4)</f>
        <v>5</v>
      </c>
    </row>
    <row r="5" spans="2:15" ht="13.9" customHeight="1">
      <c r="B5" s="262"/>
      <c r="C5" s="259"/>
      <c r="D5" s="259"/>
      <c r="E5" s="3"/>
      <c r="F5" s="106"/>
      <c r="G5" s="109">
        <f t="shared" si="0"/>
        <v>0</v>
      </c>
      <c r="I5" s="107"/>
      <c r="J5" s="111" t="s">
        <v>168</v>
      </c>
      <c r="K5" s="108">
        <v>50</v>
      </c>
      <c r="L5" s="108">
        <v>70</v>
      </c>
      <c r="M5" s="134">
        <f>COUNTIFS('Transfer PRJ(Kira,Gelo,Mcl)'!$AA$10:$AA$25,"&gt;"&amp;Summary_TransferPRJ!$K5, 'Transfer PRJ(Kira,Gelo,Mcl)'!$AA$10:$AA$25,"&lt;="&amp;Summary_TransferPRJ!$L5)</f>
        <v>9</v>
      </c>
      <c r="N5" s="135">
        <f>COUNTIFS('Transfer PRJ(Kira,Gelo,Mcl)'!$AA$27:$AA$36,"&gt;"&amp;Summary_TransferPRJ!$K5, 'Transfer PRJ(Kira,Gelo,Mcl)'!$AA$27:$AA$36,"&lt;="&amp;Summary_TransferPRJ!$L5)</f>
        <v>5</v>
      </c>
      <c r="O5" s="109">
        <f>SUM(M5:N5)</f>
        <v>14</v>
      </c>
    </row>
    <row r="6" spans="2:15" ht="13.9" customHeight="1">
      <c r="B6" s="262"/>
      <c r="C6" s="259"/>
      <c r="D6" s="259"/>
      <c r="E6" s="3"/>
      <c r="F6" s="106"/>
      <c r="G6" s="109">
        <f t="shared" si="0"/>
        <v>0</v>
      </c>
      <c r="J6" s="111" t="s">
        <v>174</v>
      </c>
      <c r="K6" s="108">
        <v>30</v>
      </c>
      <c r="L6" s="108">
        <v>50</v>
      </c>
      <c r="M6" s="134">
        <f>COUNTIFS('Transfer PRJ(Kira,Gelo,Mcl)'!$AA$10:$AA$25,"&gt;"&amp;Summary_TransferPRJ!$K6, 'Transfer PRJ(Kira,Gelo,Mcl)'!$AA$10:$AA$25,"&lt;="&amp;Summary_TransferPRJ!$L6)</f>
        <v>5</v>
      </c>
      <c r="N6" s="135">
        <f>COUNTIFS('Transfer PRJ(Kira,Gelo,Mcl)'!$AA$27:$AA$36,"&gt;"&amp;Summary_TransferPRJ!$K6, 'Transfer PRJ(Kira,Gelo,Mcl)'!$AA$27:$AA$36,"&lt;="&amp;Summary_TransferPRJ!$L6)</f>
        <v>0</v>
      </c>
      <c r="O6" s="109">
        <f>SUM(M6:N6)</f>
        <v>5</v>
      </c>
    </row>
    <row r="7" spans="2:15" ht="13.9" customHeight="1" thickBot="1">
      <c r="B7" s="262"/>
      <c r="C7" s="259"/>
      <c r="D7" s="259"/>
      <c r="E7" s="3"/>
      <c r="F7" s="106"/>
      <c r="G7" s="109">
        <f t="shared" si="0"/>
        <v>0</v>
      </c>
      <c r="J7" s="112" t="s">
        <v>178</v>
      </c>
      <c r="K7" s="113">
        <v>0</v>
      </c>
      <c r="L7" s="113">
        <v>30</v>
      </c>
      <c r="M7" s="254">
        <f>COUNTIFS('Transfer PRJ(Kira,Gelo,Mcl)'!$AA$10:$AA$25,"&gt;"&amp;Summary_TransferPRJ!$K7, 'Transfer PRJ(Kira,Gelo,Mcl)'!$AA$10:$AA$25,"&lt;="&amp;Summary_TransferPRJ!$L7)</f>
        <v>2</v>
      </c>
      <c r="N7" s="255">
        <f>COUNTIFS('Transfer PRJ(Kira,Gelo,Mcl)'!$AA$27:$AA$36,"&gt;"&amp;Summary_TransferPRJ!$K7, 'Transfer PRJ(Kira,Gelo,Mcl)'!$AA$27:$AA$36,"&lt;="&amp;Summary_TransferPRJ!$L7)</f>
        <v>0</v>
      </c>
      <c r="O7" s="109">
        <f>SUM(M7:N7)</f>
        <v>2</v>
      </c>
    </row>
    <row r="8" spans="2:15" ht="13.9" customHeight="1" thickBot="1">
      <c r="B8" s="437"/>
      <c r="C8" s="438"/>
      <c r="D8" s="439"/>
      <c r="E8" s="439"/>
      <c r="F8" s="440"/>
      <c r="G8" s="109">
        <f t="shared" si="0"/>
        <v>0</v>
      </c>
      <c r="L8" s="107" t="s">
        <v>1391</v>
      </c>
      <c r="M8" s="139">
        <f t="shared" ref="M8:O8" si="1">SUM(M4:M7)</f>
        <v>16</v>
      </c>
      <c r="N8" s="109">
        <f t="shared" si="1"/>
        <v>10</v>
      </c>
      <c r="O8" s="139">
        <f t="shared" si="1"/>
        <v>26</v>
      </c>
    </row>
    <row r="9" spans="2:15" ht="13.9" customHeight="1">
      <c r="D9" s="107" t="s">
        <v>1391</v>
      </c>
      <c r="E9" s="109">
        <f>SUM(E4:E8)</f>
        <v>16</v>
      </c>
      <c r="F9" s="109">
        <f>SUM(F4:F8)</f>
        <v>10</v>
      </c>
      <c r="G9" s="109">
        <f t="shared" si="0"/>
        <v>26</v>
      </c>
    </row>
    <row r="10" spans="2:15" ht="13.9" customHeight="1" thickBot="1">
      <c r="J10" s="24" t="s">
        <v>1959</v>
      </c>
    </row>
    <row r="11" spans="2:15" ht="13.9" customHeight="1">
      <c r="I11" t="s">
        <v>1401</v>
      </c>
      <c r="J11" s="110" t="s">
        <v>1379</v>
      </c>
      <c r="K11" s="436" t="s">
        <v>1380</v>
      </c>
      <c r="L11" s="436"/>
      <c r="M11" s="600" t="s">
        <v>1381</v>
      </c>
      <c r="N11" s="600"/>
    </row>
    <row r="12" spans="2:15" ht="13.9" customHeight="1" thickBot="1">
      <c r="J12" s="118" t="s">
        <v>1382</v>
      </c>
      <c r="K12" s="119" t="s">
        <v>1383</v>
      </c>
      <c r="L12" s="119" t="s">
        <v>1384</v>
      </c>
      <c r="M12" s="441" t="s">
        <v>1775</v>
      </c>
      <c r="N12" s="120" t="s">
        <v>1865</v>
      </c>
      <c r="O12" t="s">
        <v>1391</v>
      </c>
    </row>
    <row r="13" spans="2:15" ht="13.9" customHeight="1" thickTop="1">
      <c r="J13" s="115" t="s">
        <v>389</v>
      </c>
      <c r="K13" s="116">
        <v>70</v>
      </c>
      <c r="L13" s="116">
        <v>100</v>
      </c>
      <c r="M13" s="134">
        <f>COUNTIFS('Transfer PRJ(Kira,Gelo,Mcl)'!$AA$10:$AA$25,"&gt;"&amp;Summary_TransferPRJ!$K13, 'Transfer PRJ(Kira,Gelo,Mcl)'!$AA$10:$AA$25,"&lt;="&amp;Summary_TransferPRJ!$L13, 'Transfer PRJ(Kira,Gelo,Mcl)'!$AR$10:$AR$25,"="&amp;$I$11)</f>
        <v>0</v>
      </c>
      <c r="N13" s="135">
        <f>COUNTIFS('Transfer PRJ(Kira,Gelo,Mcl)'!$AA$27:$AA$36,"&gt;"&amp;Summary_TransferPRJ!$K13, 'Transfer PRJ(Kira,Gelo,Mcl)'!$AA$27:$AA$36,"&lt;="&amp;Summary_TransferPRJ!$L13, 'Transfer PRJ(Kira,Gelo,Mcl)'!$AR$27:$AR$36,"="&amp;$I$11)</f>
        <v>5</v>
      </c>
      <c r="O13" s="109">
        <f>SUM(M13:N13)</f>
        <v>5</v>
      </c>
    </row>
    <row r="14" spans="2:15" ht="13.9" customHeight="1">
      <c r="J14" s="111" t="s">
        <v>168</v>
      </c>
      <c r="K14" s="108">
        <v>50</v>
      </c>
      <c r="L14" s="108">
        <v>70</v>
      </c>
      <c r="M14" s="134">
        <f>COUNTIFS('Transfer PRJ(Kira,Gelo,Mcl)'!$AA$10:$AA$25,"&gt;"&amp;Summary_TransferPRJ!$K14, 'Transfer PRJ(Kira,Gelo,Mcl)'!$AA$10:$AA$25,"&lt;="&amp;Summary_TransferPRJ!$L14, 'Transfer PRJ(Kira,Gelo,Mcl)'!$AR$10:$AR$25,"="&amp;$I$11)</f>
        <v>9</v>
      </c>
      <c r="N14" s="135">
        <f>COUNTIFS('Transfer PRJ(Kira,Gelo,Mcl)'!$AA$27:$AA$36,"&gt;"&amp;Summary_TransferPRJ!$K14, 'Transfer PRJ(Kira,Gelo,Mcl)'!$AA$27:$AA$36,"&lt;="&amp;Summary_TransferPRJ!$L14, 'Transfer PRJ(Kira,Gelo,Mcl)'!$AR$27:$AR$36,"="&amp;$I$11)</f>
        <v>5</v>
      </c>
      <c r="O14" s="109">
        <f>SUM(M14:N14)</f>
        <v>14</v>
      </c>
    </row>
    <row r="15" spans="2:15" ht="13.9" customHeight="1">
      <c r="J15" s="111" t="s">
        <v>174</v>
      </c>
      <c r="K15" s="108">
        <v>30</v>
      </c>
      <c r="L15" s="108">
        <v>50</v>
      </c>
      <c r="M15" s="134">
        <f>COUNTIFS('Transfer PRJ(Kira,Gelo,Mcl)'!$AA$10:$AA$25,"&gt;"&amp;Summary_TransferPRJ!$K15, 'Transfer PRJ(Kira,Gelo,Mcl)'!$AA$10:$AA$25,"&lt;="&amp;Summary_TransferPRJ!$L15, 'Transfer PRJ(Kira,Gelo,Mcl)'!$AR$10:$AR$25,"="&amp;$I$11)</f>
        <v>0</v>
      </c>
      <c r="N15" s="135">
        <f>COUNTIFS('Transfer PRJ(Kira,Gelo,Mcl)'!$AA$27:$AA$36,"&gt;"&amp;Summary_TransferPRJ!$K15, 'Transfer PRJ(Kira,Gelo,Mcl)'!$AA$27:$AA$36,"&lt;="&amp;Summary_TransferPRJ!$L15, 'Transfer PRJ(Kira,Gelo,Mcl)'!$AR$27:$AR$36,"="&amp;$I$11)</f>
        <v>0</v>
      </c>
      <c r="O15" s="109">
        <f>SUM(M15:N15)</f>
        <v>0</v>
      </c>
    </row>
    <row r="16" spans="2:15" ht="13.9" customHeight="1" thickBot="1">
      <c r="J16" s="112" t="s">
        <v>178</v>
      </c>
      <c r="K16" s="113">
        <v>0</v>
      </c>
      <c r="L16" s="113">
        <v>30</v>
      </c>
      <c r="M16" s="254">
        <f>COUNTIFS('Transfer PRJ(Kira,Gelo,Mcl)'!$AA$10:$AA$25,"&gt;"&amp;Summary_TransferPRJ!$K16, 'Transfer PRJ(Kira,Gelo,Mcl)'!$AA$10:$AA$25,"&lt;="&amp;Summary_TransferPRJ!$L16, 'Transfer PRJ(Kira,Gelo,Mcl)'!$AR$10:$AR$25,"="&amp;$I$11)</f>
        <v>0</v>
      </c>
      <c r="N16" s="255">
        <f>COUNTIFS('Transfer PRJ(Kira,Gelo,Mcl)'!$AA$27:$AA$36,"&gt;"&amp;Summary_TransferPRJ!$K16, 'Transfer PRJ(Kira,Gelo,Mcl)'!$AA$27:$AA$36,"&lt;="&amp;Summary_TransferPRJ!$L16, 'Transfer PRJ(Kira,Gelo,Mcl)'!$AR$27:$AR$36,"="&amp;$I$11)</f>
        <v>0</v>
      </c>
      <c r="O16" s="109">
        <f>SUM(M16:N16)</f>
        <v>0</v>
      </c>
    </row>
    <row r="17" spans="9:17" ht="13.9" customHeight="1">
      <c r="L17" s="107" t="s">
        <v>1391</v>
      </c>
      <c r="M17" s="139">
        <f t="shared" ref="M17:O17" si="2">SUM(M13:M16)</f>
        <v>9</v>
      </c>
      <c r="N17" s="109">
        <f t="shared" si="2"/>
        <v>10</v>
      </c>
      <c r="O17" s="139">
        <f t="shared" si="2"/>
        <v>19</v>
      </c>
    </row>
    <row r="18" spans="9:17" ht="13.9" customHeight="1"/>
    <row r="19" spans="9:17" ht="13.9" customHeight="1" thickBot="1">
      <c r="J19" s="24" t="s">
        <v>1959</v>
      </c>
    </row>
    <row r="20" spans="9:17" ht="13.9" customHeight="1">
      <c r="I20" t="s">
        <v>1402</v>
      </c>
      <c r="J20" s="110" t="s">
        <v>1379</v>
      </c>
      <c r="K20" s="436" t="s">
        <v>1380</v>
      </c>
      <c r="L20" s="436"/>
      <c r="M20" s="600" t="s">
        <v>1381</v>
      </c>
      <c r="N20" s="600"/>
    </row>
    <row r="21" spans="9:17" ht="13.9" customHeight="1" thickBot="1">
      <c r="J21" s="118" t="s">
        <v>1382</v>
      </c>
      <c r="K21" s="119" t="s">
        <v>1383</v>
      </c>
      <c r="L21" s="119" t="s">
        <v>1384</v>
      </c>
      <c r="M21" s="441" t="s">
        <v>1775</v>
      </c>
      <c r="N21" s="120" t="s">
        <v>1865</v>
      </c>
      <c r="O21" t="s">
        <v>1391</v>
      </c>
    </row>
    <row r="22" spans="9:17" ht="13.9" customHeight="1" thickTop="1">
      <c r="J22" s="115" t="s">
        <v>389</v>
      </c>
      <c r="K22" s="116">
        <v>70</v>
      </c>
      <c r="L22" s="116">
        <v>100</v>
      </c>
      <c r="M22" s="134">
        <f>COUNTIFS('Transfer PRJ(Kira,Gelo,Mcl)'!$AA$10:$AA$25,"&gt;"&amp;Summary_TransferPRJ!$K22, 'Transfer PRJ(Kira,Gelo,Mcl)'!$AA$10:$AA$25,"&lt;="&amp;Summary_TransferPRJ!$L22, 'Transfer PRJ(Kira,Gelo,Mcl)'!$AR$10:$AR$25,"="&amp;$I$20)</f>
        <v>0</v>
      </c>
      <c r="N22" s="135">
        <f>COUNTIFS('Transfer PRJ(Kira,Gelo,Mcl)'!$AA$27:$AA$36,"&gt;"&amp;Summary_TransferPRJ!$K22, 'Transfer PRJ(Kira,Gelo,Mcl)'!$AA$27:$AA$36,"&lt;="&amp;Summary_TransferPRJ!$L22, 'Transfer PRJ(Kira,Gelo,Mcl)'!$AR$27:$AR$36,"="&amp;$I$20)</f>
        <v>0</v>
      </c>
      <c r="O22" s="109">
        <f>SUM(M22:N22)</f>
        <v>0</v>
      </c>
    </row>
    <row r="23" spans="9:17" ht="13.9" customHeight="1">
      <c r="J23" s="111" t="s">
        <v>168</v>
      </c>
      <c r="K23" s="108">
        <v>50</v>
      </c>
      <c r="L23" s="108">
        <v>70</v>
      </c>
      <c r="M23" s="134">
        <f>COUNTIFS('Transfer PRJ(Kira,Gelo,Mcl)'!$AA$10:$AA$25,"&gt;"&amp;Summary_TransferPRJ!$K23, 'Transfer PRJ(Kira,Gelo,Mcl)'!$AA$10:$AA$25,"&lt;="&amp;Summary_TransferPRJ!$L23, 'Transfer PRJ(Kira,Gelo,Mcl)'!$AR$10:$AR$25,"="&amp;$I$20)</f>
        <v>0</v>
      </c>
      <c r="N23" s="135">
        <f>COUNTIFS('Transfer PRJ(Kira,Gelo,Mcl)'!$AA$27:$AA$36,"&gt;"&amp;Summary_TransferPRJ!$K23, 'Transfer PRJ(Kira,Gelo,Mcl)'!$AA$27:$AA$36,"&lt;="&amp;Summary_TransferPRJ!$L23, 'Transfer PRJ(Kira,Gelo,Mcl)'!$AR$27:$AR$36,"="&amp;$I$20)</f>
        <v>0</v>
      </c>
      <c r="O23" s="109">
        <f>SUM(M23:N23)</f>
        <v>0</v>
      </c>
    </row>
    <row r="24" spans="9:17" ht="13.9" customHeight="1">
      <c r="J24" s="111" t="s">
        <v>174</v>
      </c>
      <c r="K24" s="108">
        <v>30</v>
      </c>
      <c r="L24" s="108">
        <v>50</v>
      </c>
      <c r="M24" s="134">
        <f>COUNTIFS('Transfer PRJ(Kira,Gelo,Mcl)'!$AA$10:$AA$25,"&gt;"&amp;Summary_TransferPRJ!$K24, 'Transfer PRJ(Kira,Gelo,Mcl)'!$AA$10:$AA$25,"&lt;="&amp;Summary_TransferPRJ!$L24, 'Transfer PRJ(Kira,Gelo,Mcl)'!$AR$10:$AR$25,"="&amp;$I$20)</f>
        <v>5</v>
      </c>
      <c r="N24" s="135">
        <f>COUNTIFS('Transfer PRJ(Kira,Gelo,Mcl)'!$AA$27:$AA$36,"&gt;"&amp;Summary_TransferPRJ!$K24, 'Transfer PRJ(Kira,Gelo,Mcl)'!$AA$27:$AA$36,"&lt;="&amp;Summary_TransferPRJ!$L24, 'Transfer PRJ(Kira,Gelo,Mcl)'!$AR$27:$AR$36,"="&amp;$I$20)</f>
        <v>0</v>
      </c>
      <c r="O24" s="109">
        <f>SUM(M24:N24)</f>
        <v>5</v>
      </c>
      <c r="Q24" t="s">
        <v>1960</v>
      </c>
    </row>
    <row r="25" spans="9:17" ht="13.9" customHeight="1" thickBot="1">
      <c r="J25" s="112" t="s">
        <v>178</v>
      </c>
      <c r="K25" s="113">
        <v>0</v>
      </c>
      <c r="L25" s="113">
        <v>30</v>
      </c>
      <c r="M25" s="254">
        <f>COUNTIFS('Transfer PRJ(Kira,Gelo,Mcl)'!$AA$10:$AA$25,"&gt;"&amp;Summary_TransferPRJ!$K25, 'Transfer PRJ(Kira,Gelo,Mcl)'!$AA$10:$AA$25,"&lt;="&amp;Summary_TransferPRJ!$L25, 'Transfer PRJ(Kira,Gelo,Mcl)'!$AR$10:$AR$25,"="&amp;$I$20)</f>
        <v>2</v>
      </c>
      <c r="N25" s="255">
        <f>COUNTIFS('Transfer PRJ(Kira,Gelo,Mcl)'!$AA$27:$AA$36,"&gt;"&amp;Summary_TransferPRJ!$K25, 'Transfer PRJ(Kira,Gelo,Mcl)'!$AA$27:$AA$36,"&lt;="&amp;Summary_TransferPRJ!$L25, 'Transfer PRJ(Kira,Gelo,Mcl)'!$AR$27:$AR$36,"="&amp;$I$20)</f>
        <v>0</v>
      </c>
      <c r="O25" s="109">
        <f>SUM(M25:N25)</f>
        <v>2</v>
      </c>
      <c r="Q25" t="s">
        <v>1961</v>
      </c>
    </row>
    <row r="26" spans="9:17" ht="13.9" customHeight="1">
      <c r="L26" s="107" t="s">
        <v>1391</v>
      </c>
      <c r="M26" s="139">
        <f t="shared" ref="M26:O26" si="3">SUM(M22:M25)</f>
        <v>7</v>
      </c>
      <c r="N26" s="109">
        <f t="shared" si="3"/>
        <v>0</v>
      </c>
      <c r="O26" s="139">
        <f t="shared" si="3"/>
        <v>7</v>
      </c>
    </row>
    <row r="27" spans="9:17" ht="13.9" customHeight="1"/>
    <row r="28" spans="9:17" ht="13.9" customHeight="1"/>
    <row r="29" spans="9:17" ht="13.9" customHeight="1"/>
    <row r="30" spans="9:17" ht="13.9" customHeight="1"/>
    <row r="35" spans="2:16">
      <c r="B35" t="s">
        <v>1405</v>
      </c>
      <c r="I35" s="3" t="s">
        <v>223</v>
      </c>
      <c r="J35" s="3"/>
      <c r="K35" s="3" t="s">
        <v>287</v>
      </c>
      <c r="L35" s="3"/>
      <c r="M35" s="3" t="s">
        <v>300</v>
      </c>
      <c r="N35" s="3"/>
      <c r="O35" s="3" t="s">
        <v>384</v>
      </c>
      <c r="P35" s="3"/>
    </row>
    <row r="36" spans="2:16">
      <c r="B36" s="3" t="s">
        <v>1381</v>
      </c>
      <c r="C36" s="3" t="s">
        <v>1406</v>
      </c>
      <c r="D36" s="3" t="s">
        <v>1407</v>
      </c>
      <c r="E36" s="3" t="s">
        <v>1408</v>
      </c>
      <c r="F36" s="3" t="s">
        <v>1409</v>
      </c>
      <c r="I36" s="3" t="s">
        <v>1408</v>
      </c>
      <c r="J36" s="3" t="s">
        <v>1409</v>
      </c>
      <c r="K36" s="3" t="s">
        <v>1408</v>
      </c>
      <c r="L36" s="3" t="s">
        <v>1409</v>
      </c>
      <c r="M36" s="3" t="s">
        <v>1408</v>
      </c>
      <c r="N36" s="3" t="s">
        <v>1409</v>
      </c>
      <c r="O36" s="3" t="s">
        <v>1408</v>
      </c>
      <c r="P36" s="3" t="s">
        <v>1409</v>
      </c>
    </row>
    <row r="37" spans="2:16">
      <c r="C37" t="str">
        <f>'Transfer PRJ(Kira,Gelo,Mcl)'!B10</f>
        <v>Brian Rhoy Santos</v>
      </c>
      <c r="D37" t="str">
        <f>'Transfer PRJ(Kira,Gelo,Mcl)'!D10</f>
        <v>TL</v>
      </c>
      <c r="E37" s="295">
        <f>'Transfer PRJ(Kira,Gelo,Mcl)'!AI10</f>
        <v>0.62856209150326792</v>
      </c>
      <c r="F37" s="503">
        <f>'Transfer PRJ(Kira,Gelo,Mcl)'!AJ10</f>
        <v>8.7719298245614041</v>
      </c>
      <c r="I37" s="442">
        <f t="shared" ref="I37:I62" si="4">IFERROR(VLOOKUP($I$35,$D37:$F37,2,FALSE),-1)</f>
        <v>-1</v>
      </c>
      <c r="J37" s="504">
        <f t="shared" ref="J37:J62" si="5">IFERROR(VLOOKUP($I$35,$D37:$F37,3,FALSE),-1)</f>
        <v>-1</v>
      </c>
      <c r="K37" s="442">
        <f t="shared" ref="K37:K62" si="6">IFERROR(VLOOKUP($K$35,$D37:$F37,2,FALSE),-1)</f>
        <v>-1</v>
      </c>
      <c r="L37" s="504">
        <f t="shared" ref="L37:L62" si="7">IFERROR(VLOOKUP($K$35,$D37:$F37,3,FALSE),-1)</f>
        <v>-1</v>
      </c>
      <c r="M37" s="442">
        <f t="shared" ref="M37:M62" si="8">IFERROR(VLOOKUP($M$35,$D37:$F37,2,FALSE),-1)</f>
        <v>-1</v>
      </c>
      <c r="N37" s="504">
        <f t="shared" ref="N37:N62" si="9">IFERROR(VLOOKUP($M$35,$D37:$F37,3,FALSE),-1)</f>
        <v>-1</v>
      </c>
      <c r="O37" s="442">
        <f t="shared" ref="O37:O62" si="10">IFERROR(VLOOKUP($O$35,$D37:$F37,2,FALSE),-1)</f>
        <v>0.62856209150326792</v>
      </c>
      <c r="P37" s="504">
        <f t="shared" ref="P37:P62" si="11">IFERROR(VLOOKUP($O$35,$D37:$F37,3,FALSE),-1)</f>
        <v>8.7719298245614041</v>
      </c>
    </row>
    <row r="38" spans="2:16">
      <c r="C38" t="str">
        <f>'Transfer PRJ(Kira,Gelo,Mcl)'!B11</f>
        <v>Charles Michael Ramos</v>
      </c>
      <c r="D38" t="str">
        <f>'Transfer PRJ(Kira,Gelo,Mcl)'!D11</f>
        <v>Mid</v>
      </c>
      <c r="E38" s="295">
        <f>'Transfer PRJ(Kira,Gelo,Mcl)'!AI11</f>
        <v>0.36700654370436298</v>
      </c>
      <c r="F38" s="503">
        <f>'Transfer PRJ(Kira,Gelo,Mcl)'!AJ11</f>
        <v>0.51</v>
      </c>
      <c r="I38" s="442">
        <f t="shared" si="4"/>
        <v>-1</v>
      </c>
      <c r="J38" s="504">
        <f t="shared" si="5"/>
        <v>-1</v>
      </c>
      <c r="K38" s="442">
        <f t="shared" si="6"/>
        <v>0.36700654370436298</v>
      </c>
      <c r="L38" s="504">
        <f t="shared" si="7"/>
        <v>0.51</v>
      </c>
      <c r="M38" s="442">
        <f t="shared" si="8"/>
        <v>-1</v>
      </c>
      <c r="N38" s="504">
        <f t="shared" si="9"/>
        <v>-1</v>
      </c>
      <c r="O38" s="442">
        <f t="shared" si="10"/>
        <v>-1</v>
      </c>
      <c r="P38" s="504">
        <f t="shared" si="11"/>
        <v>-1</v>
      </c>
    </row>
    <row r="39" spans="2:16">
      <c r="C39" t="str">
        <f>'Transfer PRJ(Kira,Gelo,Mcl)'!B12</f>
        <v>Jeffreson Salvador</v>
      </c>
      <c r="D39" t="str">
        <f>'Transfer PRJ(Kira,Gelo,Mcl)'!D12</f>
        <v>Mid</v>
      </c>
      <c r="E39" s="295">
        <f>'Transfer PRJ(Kira,Gelo,Mcl)'!AI12</f>
        <v>0.61401362566579953</v>
      </c>
      <c r="F39" s="503">
        <f>'Transfer PRJ(Kira,Gelo,Mcl)'!AJ12</f>
        <v>1.6666666666666667</v>
      </c>
      <c r="I39" s="442">
        <f t="shared" si="4"/>
        <v>-1</v>
      </c>
      <c r="J39" s="504">
        <f t="shared" si="5"/>
        <v>-1</v>
      </c>
      <c r="K39" s="442">
        <f t="shared" si="6"/>
        <v>0.61401362566579953</v>
      </c>
      <c r="L39" s="504">
        <f t="shared" si="7"/>
        <v>1.6666666666666667</v>
      </c>
      <c r="M39" s="442">
        <f t="shared" si="8"/>
        <v>-1</v>
      </c>
      <c r="N39" s="504">
        <f t="shared" si="9"/>
        <v>-1</v>
      </c>
      <c r="O39" s="442">
        <f t="shared" si="10"/>
        <v>-1</v>
      </c>
      <c r="P39" s="504">
        <f t="shared" si="11"/>
        <v>-1</v>
      </c>
    </row>
    <row r="40" spans="2:16">
      <c r="C40" t="str">
        <f>'Transfer PRJ(Kira,Gelo,Mcl)'!B13</f>
        <v>Jerick Estipona</v>
      </c>
      <c r="D40" t="str">
        <f>'Transfer PRJ(Kira,Gelo,Mcl)'!D13</f>
        <v>Mid</v>
      </c>
      <c r="E40" s="295">
        <f>'Transfer PRJ(Kira,Gelo,Mcl)'!AI13</f>
        <v>0.48918148654810761</v>
      </c>
      <c r="F40" s="503">
        <f>'Transfer PRJ(Kira,Gelo,Mcl)'!AJ13</f>
        <v>0</v>
      </c>
      <c r="I40" s="442">
        <f t="shared" si="4"/>
        <v>-1</v>
      </c>
      <c r="J40" s="504">
        <f t="shared" si="5"/>
        <v>-1</v>
      </c>
      <c r="K40" s="442">
        <f t="shared" si="6"/>
        <v>0.48918148654810761</v>
      </c>
      <c r="L40" s="504">
        <f t="shared" si="7"/>
        <v>0</v>
      </c>
      <c r="M40" s="442">
        <f t="shared" si="8"/>
        <v>-1</v>
      </c>
      <c r="N40" s="504">
        <f t="shared" si="9"/>
        <v>-1</v>
      </c>
      <c r="O40" s="442">
        <f t="shared" si="10"/>
        <v>-1</v>
      </c>
      <c r="P40" s="504">
        <f t="shared" si="11"/>
        <v>-1</v>
      </c>
    </row>
    <row r="41" spans="2:16">
      <c r="C41" t="str">
        <f>'Transfer PRJ(Kira,Gelo,Mcl)'!B14</f>
        <v>John Christopher Hung</v>
      </c>
      <c r="D41" t="str">
        <f>'Transfer PRJ(Kira,Gelo,Mcl)'!D14</f>
        <v>Sr</v>
      </c>
      <c r="E41" s="295">
        <f>'Transfer PRJ(Kira,Gelo,Mcl)'!AI14</f>
        <v>0.70000000000000007</v>
      </c>
      <c r="F41" s="505">
        <v>-1</v>
      </c>
      <c r="I41" s="442">
        <f t="shared" si="4"/>
        <v>-1</v>
      </c>
      <c r="J41" s="504">
        <f t="shared" si="5"/>
        <v>-1</v>
      </c>
      <c r="K41" s="442">
        <f t="shared" si="6"/>
        <v>-1</v>
      </c>
      <c r="L41" s="504">
        <f t="shared" si="7"/>
        <v>-1</v>
      </c>
      <c r="M41" s="442">
        <f t="shared" si="8"/>
        <v>0.70000000000000007</v>
      </c>
      <c r="N41" s="504">
        <f t="shared" si="9"/>
        <v>-1</v>
      </c>
      <c r="O41" s="442">
        <f t="shared" si="10"/>
        <v>-1</v>
      </c>
      <c r="P41" s="504">
        <f t="shared" si="11"/>
        <v>-1</v>
      </c>
    </row>
    <row r="42" spans="2:16">
      <c r="C42" t="str">
        <f>'Transfer PRJ(Kira,Gelo,Mcl)'!B15</f>
        <v>John Paul Maglunob</v>
      </c>
      <c r="D42" t="str">
        <f>'Transfer PRJ(Kira,Gelo,Mcl)'!D15</f>
        <v>Mid</v>
      </c>
      <c r="E42" s="295">
        <f>'Transfer PRJ(Kira,Gelo,Mcl)'!AI15</f>
        <v>0.64635217820368229</v>
      </c>
      <c r="F42" s="503">
        <f>'Transfer PRJ(Kira,Gelo,Mcl)'!AJ15</f>
        <v>9.6261757145775046</v>
      </c>
      <c r="I42" s="442">
        <f t="shared" si="4"/>
        <v>-1</v>
      </c>
      <c r="J42" s="504">
        <f t="shared" si="5"/>
        <v>-1</v>
      </c>
      <c r="K42" s="442">
        <f t="shared" si="6"/>
        <v>0.64635217820368229</v>
      </c>
      <c r="L42" s="504">
        <f t="shared" si="7"/>
        <v>9.6261757145775046</v>
      </c>
      <c r="M42" s="442">
        <f t="shared" si="8"/>
        <v>-1</v>
      </c>
      <c r="N42" s="504">
        <f t="shared" si="9"/>
        <v>-1</v>
      </c>
      <c r="O42" s="442">
        <f t="shared" si="10"/>
        <v>-1</v>
      </c>
      <c r="P42" s="504">
        <f t="shared" si="11"/>
        <v>-1</v>
      </c>
    </row>
    <row r="43" spans="2:16">
      <c r="C43" t="str">
        <f>'Transfer PRJ(Kira,Gelo,Mcl)'!B16</f>
        <v>John Philip Diala</v>
      </c>
      <c r="D43" t="str">
        <f>'Transfer PRJ(Kira,Gelo,Mcl)'!D16</f>
        <v>Mid</v>
      </c>
      <c r="E43" s="295">
        <f>'Transfer PRJ(Kira,Gelo,Mcl)'!AI16</f>
        <v>0.69958272964358159</v>
      </c>
      <c r="F43" s="503">
        <f>'Transfer PRJ(Kira,Gelo,Mcl)'!AJ16</f>
        <v>8.9552238805970141</v>
      </c>
      <c r="I43" s="442">
        <f t="shared" si="4"/>
        <v>-1</v>
      </c>
      <c r="J43" s="504">
        <f t="shared" si="5"/>
        <v>-1</v>
      </c>
      <c r="K43" s="442">
        <f t="shared" si="6"/>
        <v>0.69958272964358159</v>
      </c>
      <c r="L43" s="504">
        <f t="shared" si="7"/>
        <v>8.9552238805970141</v>
      </c>
      <c r="M43" s="442">
        <f t="shared" si="8"/>
        <v>-1</v>
      </c>
      <c r="N43" s="504">
        <f t="shared" si="9"/>
        <v>-1</v>
      </c>
      <c r="O43" s="442">
        <f t="shared" si="10"/>
        <v>-1</v>
      </c>
      <c r="P43" s="504">
        <f t="shared" si="11"/>
        <v>-1</v>
      </c>
    </row>
    <row r="44" spans="2:16">
      <c r="C44" t="str">
        <f>'Transfer PRJ(Kira,Gelo,Mcl)'!B17</f>
        <v>Mark Anthony Ciso</v>
      </c>
      <c r="D44" t="str">
        <f>'Transfer PRJ(Kira,Gelo,Mcl)'!D17</f>
        <v>Sr</v>
      </c>
      <c r="E44" s="295">
        <f>'Transfer PRJ(Kira,Gelo,Mcl)'!AI17</f>
        <v>0.63399871733205071</v>
      </c>
      <c r="F44" s="503">
        <f>'Transfer PRJ(Kira,Gelo,Mcl)'!AJ17</f>
        <v>21.341663967486856</v>
      </c>
      <c r="I44" s="442">
        <f t="shared" si="4"/>
        <v>-1</v>
      </c>
      <c r="J44" s="504">
        <f t="shared" si="5"/>
        <v>-1</v>
      </c>
      <c r="K44" s="442">
        <f t="shared" si="6"/>
        <v>-1</v>
      </c>
      <c r="L44" s="504">
        <f t="shared" si="7"/>
        <v>-1</v>
      </c>
      <c r="M44" s="442">
        <f t="shared" si="8"/>
        <v>0.63399871733205071</v>
      </c>
      <c r="N44" s="504">
        <f t="shared" si="9"/>
        <v>21.341663967486856</v>
      </c>
      <c r="O44" s="442">
        <f t="shared" si="10"/>
        <v>-1</v>
      </c>
      <c r="P44" s="504">
        <f t="shared" si="11"/>
        <v>-1</v>
      </c>
    </row>
    <row r="45" spans="2:16">
      <c r="C45" t="str">
        <f>'Transfer PRJ(Kira,Gelo,Mcl)'!B18</f>
        <v>Mc Kevin Aranda</v>
      </c>
      <c r="D45" t="str">
        <f>'Transfer PRJ(Kira,Gelo,Mcl)'!D18</f>
        <v>Mid</v>
      </c>
      <c r="E45" s="295">
        <f>'Transfer PRJ(Kira,Gelo,Mcl)'!AI18</f>
        <v>0.80374949546449137</v>
      </c>
      <c r="F45" s="503">
        <f>'Transfer PRJ(Kira,Gelo,Mcl)'!AJ18</f>
        <v>26.213369963369964</v>
      </c>
      <c r="I45" s="442">
        <f t="shared" si="4"/>
        <v>-1</v>
      </c>
      <c r="J45" s="504">
        <f t="shared" si="5"/>
        <v>-1</v>
      </c>
      <c r="K45" s="442">
        <f t="shared" si="6"/>
        <v>0.80374949546449137</v>
      </c>
      <c r="L45" s="504">
        <f t="shared" si="7"/>
        <v>26.213369963369964</v>
      </c>
      <c r="M45" s="442">
        <f t="shared" si="8"/>
        <v>-1</v>
      </c>
      <c r="N45" s="504">
        <f t="shared" si="9"/>
        <v>-1</v>
      </c>
      <c r="O45" s="442">
        <f t="shared" si="10"/>
        <v>-1</v>
      </c>
      <c r="P45" s="504">
        <f t="shared" si="11"/>
        <v>-1</v>
      </c>
    </row>
    <row r="46" spans="2:16">
      <c r="C46" t="str">
        <f>'Transfer PRJ(Kira,Gelo,Mcl)'!B19</f>
        <v>Miguelito Resuera</v>
      </c>
      <c r="D46" t="str">
        <f>'Transfer PRJ(Kira,Gelo,Mcl)'!D19</f>
        <v>Sr</v>
      </c>
      <c r="E46" s="295">
        <f>'Transfer PRJ(Kira,Gelo,Mcl)'!AI19</f>
        <v>0.74315339832581206</v>
      </c>
      <c r="F46" s="503">
        <f>'Transfer PRJ(Kira,Gelo,Mcl)'!AJ19</f>
        <v>1.1389759665621735</v>
      </c>
      <c r="I46" s="442">
        <f t="shared" si="4"/>
        <v>-1</v>
      </c>
      <c r="J46" s="504">
        <f t="shared" si="5"/>
        <v>-1</v>
      </c>
      <c r="K46" s="442">
        <f t="shared" si="6"/>
        <v>-1</v>
      </c>
      <c r="L46" s="504">
        <f t="shared" si="7"/>
        <v>-1</v>
      </c>
      <c r="M46" s="442">
        <f t="shared" si="8"/>
        <v>0.74315339832581206</v>
      </c>
      <c r="N46" s="504">
        <f t="shared" si="9"/>
        <v>1.1389759665621735</v>
      </c>
      <c r="O46" s="442">
        <f t="shared" si="10"/>
        <v>-1</v>
      </c>
      <c r="P46" s="504">
        <f t="shared" si="11"/>
        <v>-1</v>
      </c>
    </row>
    <row r="47" spans="2:16">
      <c r="C47" t="str">
        <f>'Transfer PRJ(Kira,Gelo,Mcl)'!B20</f>
        <v>Nigelle Alfeche</v>
      </c>
      <c r="D47" t="str">
        <f>'Transfer PRJ(Kira,Gelo,Mcl)'!D20</f>
        <v>Mid</v>
      </c>
      <c r="E47" s="295">
        <f>'Transfer PRJ(Kira,Gelo,Mcl)'!AI20</f>
        <v>0.76212121212121209</v>
      </c>
      <c r="F47" s="503">
        <f>'Transfer PRJ(Kira,Gelo,Mcl)'!AJ20</f>
        <v>28.248587570621471</v>
      </c>
      <c r="I47" s="442">
        <f t="shared" si="4"/>
        <v>-1</v>
      </c>
      <c r="J47" s="504">
        <f t="shared" si="5"/>
        <v>-1</v>
      </c>
      <c r="K47" s="442">
        <f t="shared" si="6"/>
        <v>0.76212121212121209</v>
      </c>
      <c r="L47" s="504">
        <f t="shared" si="7"/>
        <v>28.248587570621471</v>
      </c>
      <c r="M47" s="442">
        <f t="shared" si="8"/>
        <v>-1</v>
      </c>
      <c r="N47" s="504">
        <f t="shared" si="9"/>
        <v>-1</v>
      </c>
      <c r="O47" s="442">
        <f t="shared" si="10"/>
        <v>-1</v>
      </c>
      <c r="P47" s="504">
        <f t="shared" si="11"/>
        <v>-1</v>
      </c>
    </row>
    <row r="48" spans="2:16">
      <c r="C48" t="str">
        <f>'Transfer PRJ(Kira,Gelo,Mcl)'!B21</f>
        <v>Nimrod Abrigo</v>
      </c>
      <c r="D48" t="str">
        <f>'Transfer PRJ(Kira,Gelo,Mcl)'!D21</f>
        <v>Sr</v>
      </c>
      <c r="E48" s="295">
        <f>'Transfer PRJ(Kira,Gelo,Mcl)'!AI21</f>
        <v>0.70050505050505052</v>
      </c>
      <c r="F48" s="503">
        <f>'Transfer PRJ(Kira,Gelo,Mcl)'!AJ21</f>
        <v>56.666666666666664</v>
      </c>
      <c r="I48" s="442">
        <f t="shared" si="4"/>
        <v>-1</v>
      </c>
      <c r="J48" s="504">
        <f t="shared" si="5"/>
        <v>-1</v>
      </c>
      <c r="K48" s="442">
        <f t="shared" si="6"/>
        <v>-1</v>
      </c>
      <c r="L48" s="504">
        <f t="shared" si="7"/>
        <v>-1</v>
      </c>
      <c r="M48" s="442">
        <f t="shared" si="8"/>
        <v>0.70050505050505052</v>
      </c>
      <c r="N48" s="504">
        <f t="shared" si="9"/>
        <v>56.666666666666664</v>
      </c>
      <c r="O48" s="442">
        <f t="shared" si="10"/>
        <v>-1</v>
      </c>
      <c r="P48" s="504">
        <f t="shared" si="11"/>
        <v>-1</v>
      </c>
    </row>
    <row r="49" spans="3:16">
      <c r="C49" t="str">
        <f>'Transfer PRJ(Kira,Gelo,Mcl)'!B22</f>
        <v>Rienell Rae Akeem Delgado</v>
      </c>
      <c r="D49" t="str">
        <f>'Transfer PRJ(Kira,Gelo,Mcl)'!D22</f>
        <v>Mid</v>
      </c>
      <c r="E49" s="295">
        <f>'Transfer PRJ(Kira,Gelo,Mcl)'!AI22</f>
        <v>0.25123966942148757</v>
      </c>
      <c r="F49" s="505">
        <v>-1</v>
      </c>
      <c r="I49" s="442">
        <f t="shared" si="4"/>
        <v>-1</v>
      </c>
      <c r="J49" s="504">
        <f t="shared" si="5"/>
        <v>-1</v>
      </c>
      <c r="K49" s="442">
        <f t="shared" si="6"/>
        <v>0.25123966942148757</v>
      </c>
      <c r="L49" s="504">
        <f t="shared" si="7"/>
        <v>-1</v>
      </c>
      <c r="M49" s="442">
        <f t="shared" si="8"/>
        <v>-1</v>
      </c>
      <c r="N49" s="504">
        <f t="shared" si="9"/>
        <v>-1</v>
      </c>
      <c r="O49" s="442">
        <f t="shared" si="10"/>
        <v>-1</v>
      </c>
      <c r="P49" s="504">
        <f t="shared" si="11"/>
        <v>-1</v>
      </c>
    </row>
    <row r="50" spans="3:16">
      <c r="C50" t="str">
        <f>'Transfer PRJ(Kira,Gelo,Mcl)'!B23</f>
        <v>Roselito Sicsic</v>
      </c>
      <c r="D50" t="str">
        <f>'Transfer PRJ(Kira,Gelo,Mcl)'!D23</f>
        <v>Mid</v>
      </c>
      <c r="E50" s="295">
        <f>'Transfer PRJ(Kira,Gelo,Mcl)'!AI23</f>
        <v>0.59749373433583963</v>
      </c>
      <c r="F50" s="503">
        <f>'Transfer PRJ(Kira,Gelo,Mcl)'!AJ23</f>
        <v>5.1325919589392646</v>
      </c>
      <c r="I50" s="442">
        <f t="shared" si="4"/>
        <v>-1</v>
      </c>
      <c r="J50" s="504">
        <f t="shared" si="5"/>
        <v>-1</v>
      </c>
      <c r="K50" s="442">
        <f t="shared" si="6"/>
        <v>0.59749373433583963</v>
      </c>
      <c r="L50" s="504">
        <f t="shared" si="7"/>
        <v>5.1325919589392646</v>
      </c>
      <c r="M50" s="442">
        <f t="shared" si="8"/>
        <v>-1</v>
      </c>
      <c r="N50" s="504">
        <f t="shared" si="9"/>
        <v>-1</v>
      </c>
      <c r="O50" s="442">
        <f t="shared" si="10"/>
        <v>-1</v>
      </c>
      <c r="P50" s="504">
        <f t="shared" si="11"/>
        <v>-1</v>
      </c>
    </row>
    <row r="51" spans="3:16">
      <c r="C51" t="str">
        <f>'Transfer PRJ(Kira,Gelo,Mcl)'!B24</f>
        <v>Sir June Sagarino</v>
      </c>
      <c r="D51" t="str">
        <f>'Transfer PRJ(Kira,Gelo,Mcl)'!D24</f>
        <v>Mid</v>
      </c>
      <c r="E51" s="295">
        <f>'Transfer PRJ(Kira,Gelo,Mcl)'!AI24</f>
        <v>0.69733610475545948</v>
      </c>
      <c r="F51" s="503">
        <f>'Transfer PRJ(Kira,Gelo,Mcl)'!AJ24</f>
        <v>8.8501244531669521</v>
      </c>
      <c r="I51" s="442">
        <f t="shared" si="4"/>
        <v>-1</v>
      </c>
      <c r="J51" s="504">
        <f t="shared" si="5"/>
        <v>-1</v>
      </c>
      <c r="K51" s="442">
        <f t="shared" si="6"/>
        <v>0.69733610475545948</v>
      </c>
      <c r="L51" s="504">
        <f t="shared" si="7"/>
        <v>8.8501244531669521</v>
      </c>
      <c r="M51" s="442">
        <f t="shared" si="8"/>
        <v>-1</v>
      </c>
      <c r="N51" s="504">
        <f t="shared" si="9"/>
        <v>-1</v>
      </c>
      <c r="O51" s="442">
        <f t="shared" si="10"/>
        <v>-1</v>
      </c>
      <c r="P51" s="504">
        <f t="shared" si="11"/>
        <v>-1</v>
      </c>
    </row>
    <row r="52" spans="3:16">
      <c r="C52" t="str">
        <f>'Transfer PRJ(Kira,Gelo,Mcl)'!B25</f>
        <v>Yusney Madlansacay</v>
      </c>
      <c r="D52" t="str">
        <f>'Transfer PRJ(Kira,Gelo,Mcl)'!D25</f>
        <v>Mid</v>
      </c>
      <c r="E52" s="295">
        <f>'Transfer PRJ(Kira,Gelo,Mcl)'!AI25</f>
        <v>0.72714285714285709</v>
      </c>
      <c r="F52" s="503">
        <f>'Transfer PRJ(Kira,Gelo,Mcl)'!AJ25</f>
        <v>38.333333333333336</v>
      </c>
      <c r="I52" s="442">
        <f t="shared" si="4"/>
        <v>-1</v>
      </c>
      <c r="J52" s="504">
        <f t="shared" si="5"/>
        <v>-1</v>
      </c>
      <c r="K52" s="442">
        <f t="shared" si="6"/>
        <v>0.72714285714285709</v>
      </c>
      <c r="L52" s="504">
        <f t="shared" si="7"/>
        <v>38.333333333333336</v>
      </c>
      <c r="M52" s="442">
        <f t="shared" si="8"/>
        <v>-1</v>
      </c>
      <c r="N52" s="504">
        <f t="shared" si="9"/>
        <v>-1</v>
      </c>
      <c r="O52" s="442">
        <f t="shared" si="10"/>
        <v>-1</v>
      </c>
      <c r="P52" s="504">
        <f t="shared" si="11"/>
        <v>-1</v>
      </c>
    </row>
    <row r="53" spans="3:16">
      <c r="C53" t="str">
        <f>'Transfer PRJ(Kira,Gelo,Mcl)'!B27</f>
        <v>Peng Shao Feng</v>
      </c>
      <c r="D53" t="str">
        <f>'Transfer PRJ(Kira,Gelo,Mcl)'!D27</f>
        <v>Sr</v>
      </c>
      <c r="E53" s="295">
        <f>'Transfer PRJ(Kira,Gelo,Mcl)'!AI27</f>
        <v>0.71810664112388256</v>
      </c>
      <c r="F53" s="505">
        <v>-1</v>
      </c>
      <c r="I53" s="442">
        <f t="shared" si="4"/>
        <v>-1</v>
      </c>
      <c r="J53" s="504">
        <f t="shared" si="5"/>
        <v>-1</v>
      </c>
      <c r="K53" s="442">
        <f t="shared" si="6"/>
        <v>-1</v>
      </c>
      <c r="L53" s="504">
        <f t="shared" si="7"/>
        <v>-1</v>
      </c>
      <c r="M53" s="442">
        <f t="shared" si="8"/>
        <v>0.71810664112388256</v>
      </c>
      <c r="N53" s="504">
        <f t="shared" si="9"/>
        <v>-1</v>
      </c>
      <c r="O53" s="442">
        <f t="shared" si="10"/>
        <v>-1</v>
      </c>
      <c r="P53" s="504">
        <f t="shared" si="11"/>
        <v>-1</v>
      </c>
    </row>
    <row r="54" spans="3:16">
      <c r="C54" t="str">
        <f>'Transfer PRJ(Kira,Gelo,Mcl)'!B28</f>
        <v>Cheong Beng Chuan</v>
      </c>
      <c r="D54" t="str">
        <f>'Transfer PRJ(Kira,Gelo,Mcl)'!D28</f>
        <v>Jr</v>
      </c>
      <c r="E54" s="295">
        <f>'Transfer PRJ(Kira,Gelo,Mcl)'!AI28</f>
        <v>0.7657149159084643</v>
      </c>
      <c r="F54" s="503">
        <f>'Transfer PRJ(Kira,Gelo,Mcl)'!AJ28</f>
        <v>5.6542294914387945</v>
      </c>
      <c r="I54" s="442">
        <f t="shared" si="4"/>
        <v>0.7657149159084643</v>
      </c>
      <c r="J54" s="504">
        <f t="shared" si="5"/>
        <v>5.6542294914387945</v>
      </c>
      <c r="K54" s="442">
        <f t="shared" si="6"/>
        <v>-1</v>
      </c>
      <c r="L54" s="504">
        <f t="shared" si="7"/>
        <v>-1</v>
      </c>
      <c r="M54" s="442">
        <f t="shared" si="8"/>
        <v>-1</v>
      </c>
      <c r="N54" s="504">
        <f t="shared" si="9"/>
        <v>-1</v>
      </c>
      <c r="O54" s="442">
        <f t="shared" si="10"/>
        <v>-1</v>
      </c>
      <c r="P54" s="504">
        <f t="shared" si="11"/>
        <v>-1</v>
      </c>
    </row>
    <row r="55" spans="3:16">
      <c r="C55" t="str">
        <f>'Transfer PRJ(Kira,Gelo,Mcl)'!B29</f>
        <v>Hor Rui Jie</v>
      </c>
      <c r="D55" t="str">
        <f>'Transfer PRJ(Kira,Gelo,Mcl)'!D29</f>
        <v>Jr</v>
      </c>
      <c r="E55" s="295">
        <f>'Transfer PRJ(Kira,Gelo,Mcl)'!AI29</f>
        <v>0.85951553324188412</v>
      </c>
      <c r="F55" s="503">
        <f>'Transfer PRJ(Kira,Gelo,Mcl)'!AJ29</f>
        <v>2.0576131687242798</v>
      </c>
      <c r="I55" s="442">
        <f t="shared" si="4"/>
        <v>0.85951553324188412</v>
      </c>
      <c r="J55" s="504">
        <f t="shared" si="5"/>
        <v>2.0576131687242798</v>
      </c>
      <c r="K55" s="442">
        <f t="shared" si="6"/>
        <v>-1</v>
      </c>
      <c r="L55" s="504">
        <f t="shared" si="7"/>
        <v>-1</v>
      </c>
      <c r="M55" s="442">
        <f t="shared" si="8"/>
        <v>-1</v>
      </c>
      <c r="N55" s="504">
        <f t="shared" si="9"/>
        <v>-1</v>
      </c>
      <c r="O55" s="442">
        <f t="shared" si="10"/>
        <v>-1</v>
      </c>
      <c r="P55" s="504">
        <f t="shared" si="11"/>
        <v>-1</v>
      </c>
    </row>
    <row r="56" spans="3:16">
      <c r="C56" t="str">
        <f>'Transfer PRJ(Kira,Gelo,Mcl)'!B30</f>
        <v>Khong Wai Kit</v>
      </c>
      <c r="D56" t="str">
        <f>'Transfer PRJ(Kira,Gelo,Mcl)'!D30</f>
        <v>Jr</v>
      </c>
      <c r="E56" s="295">
        <f>'Transfer PRJ(Kira,Gelo,Mcl)'!AI30</f>
        <v>0.73304519186811878</v>
      </c>
      <c r="F56" s="503">
        <f>'Transfer PRJ(Kira,Gelo,Mcl)'!AJ30</f>
        <v>5.3473545982123953</v>
      </c>
      <c r="I56" s="442">
        <f t="shared" si="4"/>
        <v>0.73304519186811878</v>
      </c>
      <c r="J56" s="504">
        <f t="shared" si="5"/>
        <v>5.3473545982123953</v>
      </c>
      <c r="K56" s="442">
        <f t="shared" si="6"/>
        <v>-1</v>
      </c>
      <c r="L56" s="504">
        <f t="shared" si="7"/>
        <v>-1</v>
      </c>
      <c r="M56" s="442">
        <f t="shared" si="8"/>
        <v>-1</v>
      </c>
      <c r="N56" s="504">
        <f t="shared" si="9"/>
        <v>-1</v>
      </c>
      <c r="O56" s="442">
        <f t="shared" si="10"/>
        <v>-1</v>
      </c>
      <c r="P56" s="504">
        <f t="shared" si="11"/>
        <v>-1</v>
      </c>
    </row>
    <row r="57" spans="3:16">
      <c r="C57" t="str">
        <f>'Transfer PRJ(Kira,Gelo,Mcl)'!B31</f>
        <v>Wee Kian Huat</v>
      </c>
      <c r="D57" t="str">
        <f>'Transfer PRJ(Kira,Gelo,Mcl)'!D31</f>
        <v>Jr</v>
      </c>
      <c r="E57" s="295">
        <f>'Transfer PRJ(Kira,Gelo,Mcl)'!AI31</f>
        <v>1.1112425789845144</v>
      </c>
      <c r="F57" s="503">
        <f>'Transfer PRJ(Kira,Gelo,Mcl)'!AJ31</f>
        <v>19.13489221262552</v>
      </c>
      <c r="I57" s="442">
        <f t="shared" si="4"/>
        <v>1.1112425789845144</v>
      </c>
      <c r="J57" s="504">
        <f t="shared" si="5"/>
        <v>19.13489221262552</v>
      </c>
      <c r="K57" s="442">
        <f t="shared" si="6"/>
        <v>-1</v>
      </c>
      <c r="L57" s="504">
        <f t="shared" si="7"/>
        <v>-1</v>
      </c>
      <c r="M57" s="442">
        <f t="shared" si="8"/>
        <v>-1</v>
      </c>
      <c r="N57" s="504">
        <f t="shared" si="9"/>
        <v>-1</v>
      </c>
      <c r="O57" s="442">
        <f t="shared" si="10"/>
        <v>-1</v>
      </c>
      <c r="P57" s="504">
        <f t="shared" si="11"/>
        <v>-1</v>
      </c>
    </row>
    <row r="58" spans="3:16">
      <c r="C58" t="str">
        <f>'Transfer PRJ(Kira,Gelo,Mcl)'!B32</f>
        <v>Yap Sun Wei</v>
      </c>
      <c r="D58" t="str">
        <f>'Transfer PRJ(Kira,Gelo,Mcl)'!D32</f>
        <v>Jr</v>
      </c>
      <c r="E58" s="295">
        <f>'Transfer PRJ(Kira,Gelo,Mcl)'!AI32</f>
        <v>0.78671681626121948</v>
      </c>
      <c r="F58" s="503">
        <f>'Transfer PRJ(Kira,Gelo,Mcl)'!AJ32</f>
        <v>14.620662944009318</v>
      </c>
      <c r="I58" s="442">
        <f t="shared" si="4"/>
        <v>0.78671681626121948</v>
      </c>
      <c r="J58" s="504">
        <f t="shared" si="5"/>
        <v>14.620662944009318</v>
      </c>
      <c r="K58" s="442">
        <f t="shared" si="6"/>
        <v>-1</v>
      </c>
      <c r="L58" s="504">
        <f t="shared" si="7"/>
        <v>-1</v>
      </c>
      <c r="M58" s="442">
        <f t="shared" si="8"/>
        <v>-1</v>
      </c>
      <c r="N58" s="504">
        <f t="shared" si="9"/>
        <v>-1</v>
      </c>
      <c r="O58" s="442">
        <f t="shared" si="10"/>
        <v>-1</v>
      </c>
      <c r="P58" s="504">
        <f t="shared" si="11"/>
        <v>-1</v>
      </c>
    </row>
    <row r="59" spans="3:16">
      <c r="C59" t="str">
        <f>'Transfer PRJ(Kira,Gelo,Mcl)'!B33</f>
        <v>Chan Jiunn Hong</v>
      </c>
      <c r="D59" t="str">
        <f>'Transfer PRJ(Kira,Gelo,Mcl)'!D33</f>
        <v>Mid</v>
      </c>
      <c r="E59" s="295">
        <f>'Transfer PRJ(Kira,Gelo,Mcl)'!AI33</f>
        <v>0.9302843797813829</v>
      </c>
      <c r="F59" s="503">
        <f>'Transfer PRJ(Kira,Gelo,Mcl)'!AJ33</f>
        <v>12.548967747218196</v>
      </c>
      <c r="I59" s="442">
        <f t="shared" si="4"/>
        <v>-1</v>
      </c>
      <c r="J59" s="504">
        <f t="shared" si="5"/>
        <v>-1</v>
      </c>
      <c r="K59" s="442">
        <f t="shared" si="6"/>
        <v>0.9302843797813829</v>
      </c>
      <c r="L59" s="504">
        <f t="shared" si="7"/>
        <v>12.548967747218196</v>
      </c>
      <c r="M59" s="442">
        <f t="shared" si="8"/>
        <v>-1</v>
      </c>
      <c r="N59" s="504">
        <f t="shared" si="9"/>
        <v>-1</v>
      </c>
      <c r="O59" s="442">
        <f t="shared" si="10"/>
        <v>-1</v>
      </c>
      <c r="P59" s="504">
        <f t="shared" si="11"/>
        <v>-1</v>
      </c>
    </row>
    <row r="60" spans="3:16">
      <c r="C60" t="str">
        <f>'Transfer PRJ(Kira,Gelo,Mcl)'!B34</f>
        <v>Muhammad Jamal Nur Amalina Binti</v>
      </c>
      <c r="D60" t="str">
        <f>'Transfer PRJ(Kira,Gelo,Mcl)'!D34</f>
        <v>Mid</v>
      </c>
      <c r="E60" s="295">
        <f>'Transfer PRJ(Kira,Gelo,Mcl)'!AI34</f>
        <v>0.8087267997690154</v>
      </c>
      <c r="F60" s="503">
        <f>'Transfer PRJ(Kira,Gelo,Mcl)'!AJ34</f>
        <v>17.194835680751176</v>
      </c>
      <c r="I60" s="442">
        <f t="shared" si="4"/>
        <v>-1</v>
      </c>
      <c r="J60" s="504">
        <f t="shared" si="5"/>
        <v>-1</v>
      </c>
      <c r="K60" s="442">
        <f t="shared" si="6"/>
        <v>0.8087267997690154</v>
      </c>
      <c r="L60" s="504">
        <f t="shared" si="7"/>
        <v>17.194835680751176</v>
      </c>
      <c r="M60" s="442">
        <f t="shared" si="8"/>
        <v>-1</v>
      </c>
      <c r="N60" s="504">
        <f t="shared" si="9"/>
        <v>-1</v>
      </c>
      <c r="O60" s="442">
        <f t="shared" si="10"/>
        <v>-1</v>
      </c>
      <c r="P60" s="504">
        <f t="shared" si="11"/>
        <v>-1</v>
      </c>
    </row>
    <row r="61" spans="3:16">
      <c r="C61" t="str">
        <f>'Transfer PRJ(Kira,Gelo,Mcl)'!B35</f>
        <v>Nurul Nadia Binti Jamil Abdul Nasir</v>
      </c>
      <c r="D61" t="str">
        <f>'Transfer PRJ(Kira,Gelo,Mcl)'!D35</f>
        <v>Mid</v>
      </c>
      <c r="E61" s="295">
        <f>'Transfer PRJ(Kira,Gelo,Mcl)'!AI35</f>
        <v>0.82204838914334599</v>
      </c>
      <c r="F61" s="503">
        <f>'Transfer PRJ(Kira,Gelo,Mcl)'!AJ35</f>
        <v>7.2840007196038288</v>
      </c>
      <c r="I61" s="442">
        <f t="shared" si="4"/>
        <v>-1</v>
      </c>
      <c r="J61" s="504">
        <f t="shared" si="5"/>
        <v>-1</v>
      </c>
      <c r="K61" s="442">
        <f t="shared" si="6"/>
        <v>0.82204838914334599</v>
      </c>
      <c r="L61" s="504">
        <f t="shared" si="7"/>
        <v>7.2840007196038288</v>
      </c>
      <c r="M61" s="442">
        <f t="shared" si="8"/>
        <v>-1</v>
      </c>
      <c r="N61" s="504">
        <f t="shared" si="9"/>
        <v>-1</v>
      </c>
      <c r="O61" s="442">
        <f t="shared" si="10"/>
        <v>-1</v>
      </c>
      <c r="P61" s="504">
        <f t="shared" si="11"/>
        <v>-1</v>
      </c>
    </row>
    <row r="62" spans="3:16">
      <c r="C62" t="str">
        <f>'Transfer PRJ(Kira,Gelo,Mcl)'!B36</f>
        <v>Nurul Afiqah Binti Zakaria</v>
      </c>
      <c r="D62" t="str">
        <f>'Transfer PRJ(Kira,Gelo,Mcl)'!D36</f>
        <v>Mid</v>
      </c>
      <c r="E62" s="295">
        <f>'Transfer PRJ(Kira,Gelo,Mcl)'!AI36</f>
        <v>0.79625271276118736</v>
      </c>
      <c r="F62" s="503">
        <f>'Transfer PRJ(Kira,Gelo,Mcl)'!AJ36</f>
        <v>10.628836900613905</v>
      </c>
      <c r="I62" s="442">
        <f t="shared" si="4"/>
        <v>-1</v>
      </c>
      <c r="J62" s="504">
        <f t="shared" si="5"/>
        <v>-1</v>
      </c>
      <c r="K62" s="442">
        <f t="shared" si="6"/>
        <v>0.79625271276118736</v>
      </c>
      <c r="L62" s="504">
        <f t="shared" si="7"/>
        <v>10.628836900613905</v>
      </c>
      <c r="M62" s="442">
        <f t="shared" si="8"/>
        <v>-1</v>
      </c>
      <c r="N62" s="504">
        <f t="shared" si="9"/>
        <v>-1</v>
      </c>
      <c r="O62" s="442">
        <f t="shared" si="10"/>
        <v>-1</v>
      </c>
      <c r="P62" s="504">
        <f t="shared" si="11"/>
        <v>-1</v>
      </c>
    </row>
  </sheetData>
  <mergeCells count="4">
    <mergeCell ref="M2:N2"/>
    <mergeCell ref="M11:N11"/>
    <mergeCell ref="M20:N20"/>
    <mergeCell ref="E2:F2"/>
  </mergeCells>
  <phoneticPr fontId="10"/>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08985-DF15-4CC8-B12C-6F586D3F93D4}">
  <dimension ref="A1:B12"/>
  <sheetViews>
    <sheetView workbookViewId="0"/>
  </sheetViews>
  <sheetFormatPr defaultRowHeight="11.1"/>
  <cols>
    <col min="1" max="1" width="31.140625" style="359" bestFit="1" customWidth="1"/>
    <col min="2" max="2" width="13.140625" customWidth="1"/>
  </cols>
  <sheetData>
    <row r="1" spans="1:2">
      <c r="A1" s="274" t="s">
        <v>1962</v>
      </c>
      <c r="B1" s="172" t="s">
        <v>1963</v>
      </c>
    </row>
    <row r="2" spans="1:2">
      <c r="A2" s="360">
        <v>1</v>
      </c>
      <c r="B2" s="3">
        <v>46</v>
      </c>
    </row>
    <row r="3" spans="1:2">
      <c r="A3" s="3" t="s">
        <v>1964</v>
      </c>
      <c r="B3" s="3">
        <v>4</v>
      </c>
    </row>
    <row r="4" spans="1:2">
      <c r="A4" s="3" t="s">
        <v>1965</v>
      </c>
      <c r="B4" s="3">
        <v>1</v>
      </c>
    </row>
    <row r="5" spans="1:2">
      <c r="A5" s="3" t="s">
        <v>1966</v>
      </c>
      <c r="B5" s="3">
        <v>15</v>
      </c>
    </row>
    <row r="6" spans="1:2">
      <c r="A6" s="3" t="s">
        <v>1967</v>
      </c>
      <c r="B6" s="3">
        <v>3</v>
      </c>
    </row>
    <row r="7" spans="1:2">
      <c r="A7" s="3" t="s">
        <v>1968</v>
      </c>
      <c r="B7" s="3">
        <v>1</v>
      </c>
    </row>
    <row r="8" spans="1:2">
      <c r="A8" s="3" t="s">
        <v>1969</v>
      </c>
      <c r="B8" s="3">
        <v>8</v>
      </c>
    </row>
    <row r="9" spans="1:2">
      <c r="A9" s="3" t="s">
        <v>1970</v>
      </c>
      <c r="B9" s="3">
        <v>1</v>
      </c>
    </row>
    <row r="10" spans="1:2">
      <c r="A10" s="3" t="s">
        <v>1971</v>
      </c>
      <c r="B10" s="3">
        <v>1</v>
      </c>
    </row>
    <row r="11" spans="1:2">
      <c r="A11" s="3" t="s">
        <v>1972</v>
      </c>
      <c r="B11" s="3">
        <v>17</v>
      </c>
    </row>
    <row r="12" spans="1:2">
      <c r="A12" s="172" t="s">
        <v>1451</v>
      </c>
      <c r="B12" s="172">
        <f>SUM(B2:B11)</f>
        <v>97</v>
      </c>
    </row>
  </sheetData>
  <phoneticPr fontId="1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2bbb924-8c6c-4d3c-b6d9-e29e7d916914" xsi:nil="true"/>
    <lcf76f155ced4ddcb4097134ff3c332f xmlns="1b84e84c-0e5f-407d-b37b-07c97858aa4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E869C3F75BEF458F3690D7FD866CC8" ma:contentTypeVersion="13" ma:contentTypeDescription="Create a new document." ma:contentTypeScope="" ma:versionID="b9b7363a661e7407a3e66ab874c3bcfd">
  <xsd:schema xmlns:xsd="http://www.w3.org/2001/XMLSchema" xmlns:xs="http://www.w3.org/2001/XMLSchema" xmlns:p="http://schemas.microsoft.com/office/2006/metadata/properties" xmlns:ns2="1b84e84c-0e5f-407d-b37b-07c97858aa43" xmlns:ns3="f2bbb924-8c6c-4d3c-b6d9-e29e7d916914" targetNamespace="http://schemas.microsoft.com/office/2006/metadata/properties" ma:root="true" ma:fieldsID="f2acd875372d5e78dfce8d5b8a83d8e3" ns2:_="" ns3:_="">
    <xsd:import namespace="1b84e84c-0e5f-407d-b37b-07c97858aa43"/>
    <xsd:import namespace="f2bbb924-8c6c-4d3c-b6d9-e29e7d91691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84e84c-0e5f-407d-b37b-07c97858aa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c4fd492-276b-4614-b3af-3a4c63b563f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bbb924-8c6c-4d3c-b6d9-e29e7d91691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3bdeac5-46e8-45f3-8d28-f6f123561614}" ma:internalName="TaxCatchAll" ma:showField="CatchAllData" ma:web="f2bbb924-8c6c-4d3c-b6d9-e29e7d9169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51B700-A2A4-41F8-AE63-218E7FAEDAE2}"/>
</file>

<file path=customXml/itemProps2.xml><?xml version="1.0" encoding="utf-8"?>
<ds:datastoreItem xmlns:ds="http://schemas.openxmlformats.org/officeDocument/2006/customXml" ds:itemID="{F6FFBC36-70D6-45BB-82F0-DC477E6EA5BF}"/>
</file>

<file path=customXml/itemProps3.xml><?xml version="1.0" encoding="utf-8"?>
<ds:datastoreItem xmlns:ds="http://schemas.openxmlformats.org/officeDocument/2006/customXml" ds:itemID="{3419319B-03F8-4F13-8ED4-A9E8739315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Hirata, Yoshito/平田 好人</dc:creator>
  <cp:keywords/>
  <dc:description/>
  <cp:lastModifiedBy>Hapon, Ruzzel</cp:lastModifiedBy>
  <cp:revision/>
  <dcterms:created xsi:type="dcterms:W3CDTF">2023-08-09T11:21:10Z</dcterms:created>
  <dcterms:modified xsi:type="dcterms:W3CDTF">2024-03-15T05:03:52Z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2023-08-09T11:21:10Z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e1a4a214-2da8-4457-b86e-c886883e55ad</vt:lpwstr>
  </property>
  <property fmtid="{D5CDD505-2E9C-101B-9397-08002B2CF9AE}" pid="8" name="MSIP_Label_a7295cc1-d279-42ac-ab4d-3b0f4fece050_ContentBits">
    <vt:lpwstr>0</vt:lpwstr>
  </property>
  <property fmtid="{D5CDD505-2E9C-101B-9397-08002B2CF9AE}" pid="9" name="ContentTypeId">
    <vt:lpwstr>0x01010074E869C3F75BEF458F3690D7FD866CC8</vt:lpwstr>
  </property>
  <property fmtid="{D5CDD505-2E9C-101B-9397-08002B2CF9AE}" pid="10" name="MediaServiceImageTags">
    <vt:lpwstr/>
  </property>
</Properties>
</file>