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ocuments\Personal\"/>
    </mc:Choice>
  </mc:AlternateContent>
  <xr:revisionPtr revIDLastSave="0" documentId="13_ncr:1_{CBBAAA43-FB72-42F9-BC1A-6C0433E9D183}" xr6:coauthVersionLast="47" xr6:coauthVersionMax="47" xr10:uidLastSave="{00000000-0000-0000-0000-000000000000}"/>
  <bookViews>
    <workbookView xWindow="-108" yWindow="-108" windowWidth="23256" windowHeight="12576" activeTab="10" xr2:uid="{00000000-000D-0000-FFFF-FFFF00000000}"/>
  </bookViews>
  <sheets>
    <sheet name="20230128" sheetId="24" r:id="rId1"/>
    <sheet name="20230226" sheetId="25" r:id="rId2"/>
    <sheet name="20230326" sheetId="26" r:id="rId3"/>
    <sheet name="20230413" sheetId="27" r:id="rId4"/>
    <sheet name="20230423" sheetId="28" r:id="rId5"/>
    <sheet name="SMS" sheetId="14" r:id="rId6"/>
    <sheet name="20230527" sheetId="29" r:id="rId7"/>
    <sheet name="20230624" sheetId="30" r:id="rId8"/>
    <sheet name="20230724" sheetId="31" r:id="rId9"/>
    <sheet name="20230824" sheetId="33" r:id="rId10"/>
    <sheet name="20230831" sheetId="34" r:id="rId11"/>
    <sheet name="Sheet1" sheetId="32" r:id="rId12"/>
  </sheets>
  <definedNames>
    <definedName name="_xlnm.Print_Area" localSheetId="0">'20230128'!$A$1:$AG$19</definedName>
    <definedName name="_xlnm.Print_Area" localSheetId="1">'20230226'!$A$1:$AG$19</definedName>
    <definedName name="_xlnm.Print_Area" localSheetId="2">'20230326'!$A$1:$AG$19</definedName>
    <definedName name="_xlnm.Print_Area" localSheetId="3">'20230413'!$A$1:$AG$19</definedName>
    <definedName name="_xlnm.Print_Area" localSheetId="4">'20230423'!$A$1:$AG$19</definedName>
    <definedName name="_xlnm.Print_Area" localSheetId="6">'20230527'!$A$1:$AG$19</definedName>
    <definedName name="_xlnm.Print_Area" localSheetId="7">'20230624'!$A$1:$AG$19</definedName>
    <definedName name="_xlnm.Print_Area" localSheetId="8">'20230724'!$A$1:$AG$19</definedName>
    <definedName name="_xlnm.Print_Area" localSheetId="9">'20230824'!$A$1:$AG$19</definedName>
    <definedName name="_xlnm.Print_Area" localSheetId="10">'20230831'!$A$1:$AG$19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34" l="1"/>
  <c r="A17" i="34"/>
  <c r="A16" i="34"/>
  <c r="B12" i="34"/>
  <c r="H9" i="34"/>
  <c r="G9" i="34"/>
  <c r="H8" i="34"/>
  <c r="G8" i="34"/>
  <c r="H7" i="34"/>
  <c r="G7" i="34"/>
  <c r="H6" i="34"/>
  <c r="G6" i="34"/>
  <c r="H5" i="34"/>
  <c r="G5" i="34"/>
  <c r="H4" i="34"/>
  <c r="G4" i="34"/>
  <c r="H3" i="34"/>
  <c r="G3" i="34"/>
  <c r="H2" i="34"/>
  <c r="G2" i="34"/>
  <c r="B17" i="33"/>
  <c r="A17" i="33"/>
  <c r="A16" i="33"/>
  <c r="B15" i="33"/>
  <c r="B12" i="33" s="1"/>
  <c r="H9" i="33"/>
  <c r="G9" i="33"/>
  <c r="H8" i="33"/>
  <c r="G8" i="33"/>
  <c r="H7" i="33"/>
  <c r="G7" i="33"/>
  <c r="H6" i="33"/>
  <c r="G6" i="33"/>
  <c r="H5" i="33"/>
  <c r="G5" i="33"/>
  <c r="H4" i="33"/>
  <c r="G4" i="33"/>
  <c r="H3" i="33"/>
  <c r="G3" i="33"/>
  <c r="H2" i="33"/>
  <c r="G2" i="33"/>
  <c r="B17" i="31"/>
  <c r="A17" i="31"/>
  <c r="A16" i="31"/>
  <c r="B15" i="31"/>
  <c r="B12" i="31" s="1"/>
  <c r="H9" i="31"/>
  <c r="G9" i="31"/>
  <c r="H8" i="31"/>
  <c r="G8" i="31"/>
  <c r="H7" i="31"/>
  <c r="G7" i="31"/>
  <c r="H6" i="31"/>
  <c r="G6" i="31"/>
  <c r="H5" i="31"/>
  <c r="G5" i="31"/>
  <c r="H4" i="31"/>
  <c r="G4" i="31"/>
  <c r="H3" i="31"/>
  <c r="G3" i="31"/>
  <c r="H2" i="31"/>
  <c r="G2" i="31"/>
  <c r="B17" i="30"/>
  <c r="A17" i="30"/>
  <c r="A16" i="30"/>
  <c r="B15" i="30"/>
  <c r="B12" i="30" s="1"/>
  <c r="H9" i="30"/>
  <c r="G9" i="30"/>
  <c r="H8" i="30"/>
  <c r="G8" i="30"/>
  <c r="H7" i="30"/>
  <c r="G7" i="30"/>
  <c r="H6" i="30"/>
  <c r="G6" i="30"/>
  <c r="H5" i="30"/>
  <c r="G5" i="30"/>
  <c r="H4" i="30"/>
  <c r="G4" i="30"/>
  <c r="H3" i="30"/>
  <c r="G3" i="30"/>
  <c r="H2" i="30"/>
  <c r="G2" i="30"/>
  <c r="D12" i="29"/>
  <c r="B17" i="29"/>
  <c r="A17" i="29"/>
  <c r="A16" i="29"/>
  <c r="B15" i="29"/>
  <c r="B12" i="29" s="1"/>
  <c r="H9" i="29"/>
  <c r="G9" i="29"/>
  <c r="H8" i="29"/>
  <c r="G8" i="29"/>
  <c r="H7" i="29"/>
  <c r="G7" i="29"/>
  <c r="H6" i="29"/>
  <c r="G6" i="29"/>
  <c r="H5" i="29"/>
  <c r="G5" i="29"/>
  <c r="H4" i="29"/>
  <c r="G4" i="29"/>
  <c r="H3" i="29"/>
  <c r="G3" i="29"/>
  <c r="H2" i="29"/>
  <c r="G2" i="29"/>
  <c r="G3" i="28"/>
  <c r="G4" i="28"/>
  <c r="G5" i="28"/>
  <c r="G6" i="28"/>
  <c r="G7" i="28"/>
  <c r="G8" i="28"/>
  <c r="G9" i="28"/>
  <c r="G2" i="28"/>
  <c r="H3" i="28"/>
  <c r="H4" i="28"/>
  <c r="H5" i="28"/>
  <c r="H6" i="28"/>
  <c r="H7" i="28"/>
  <c r="H8" i="28"/>
  <c r="H9" i="28"/>
  <c r="H2" i="28"/>
  <c r="G9" i="27"/>
  <c r="G8" i="27"/>
  <c r="G7" i="27"/>
  <c r="G6" i="27"/>
  <c r="G5" i="27"/>
  <c r="G4" i="27"/>
  <c r="G3" i="27"/>
  <c r="G2" i="27"/>
  <c r="H9" i="27"/>
  <c r="H8" i="27"/>
  <c r="H7" i="27"/>
  <c r="H6" i="27"/>
  <c r="H5" i="27"/>
  <c r="H4" i="27"/>
  <c r="H3" i="27"/>
  <c r="H2" i="27"/>
  <c r="B17" i="28"/>
  <c r="A17" i="28"/>
  <c r="A16" i="28"/>
  <c r="B15" i="28"/>
  <c r="B12" i="28" s="1"/>
  <c r="B17" i="27"/>
  <c r="A17" i="27"/>
  <c r="A16" i="27"/>
  <c r="B15" i="27"/>
  <c r="D9" i="27"/>
  <c r="D8" i="27"/>
  <c r="D7" i="27"/>
  <c r="D6" i="27"/>
  <c r="D5" i="27"/>
  <c r="D4" i="27"/>
  <c r="D3" i="27"/>
  <c r="D2" i="27"/>
  <c r="D155" i="14"/>
  <c r="D156" i="14" s="1"/>
  <c r="D157" i="14" s="1"/>
  <c r="D158" i="14" s="1"/>
  <c r="D159" i="14" s="1"/>
  <c r="D160" i="14" s="1"/>
  <c r="D161" i="14" s="1"/>
  <c r="B17" i="26"/>
  <c r="A17" i="26"/>
  <c r="A16" i="26"/>
  <c r="B15" i="26"/>
  <c r="B12" i="26" s="1"/>
  <c r="D9" i="26"/>
  <c r="D8" i="26"/>
  <c r="D7" i="26"/>
  <c r="D6" i="26"/>
  <c r="D5" i="26"/>
  <c r="D4" i="26"/>
  <c r="D3" i="26"/>
  <c r="D2" i="26"/>
  <c r="D144" i="14"/>
  <c r="D145" i="14" s="1"/>
  <c r="D146" i="14" s="1"/>
  <c r="D147" i="14" s="1"/>
  <c r="D148" i="14" s="1"/>
  <c r="D149" i="14" s="1"/>
  <c r="D150" i="14" s="1"/>
  <c r="B15" i="25"/>
  <c r="B17" i="25"/>
  <c r="A17" i="25"/>
  <c r="A16" i="25"/>
  <c r="D9" i="25"/>
  <c r="D8" i="25"/>
  <c r="D7" i="25"/>
  <c r="D6" i="25"/>
  <c r="D5" i="25"/>
  <c r="D4" i="25"/>
  <c r="D3" i="25"/>
  <c r="D2" i="25"/>
  <c r="D134" i="14"/>
  <c r="D135" i="14" s="1"/>
  <c r="D136" i="14" s="1"/>
  <c r="D137" i="14" s="1"/>
  <c r="D138" i="14" s="1"/>
  <c r="D139" i="14" s="1"/>
  <c r="D140" i="14" s="1"/>
  <c r="B18" i="24"/>
  <c r="B17" i="24"/>
  <c r="A17" i="24"/>
  <c r="A16" i="24"/>
  <c r="B15" i="24"/>
  <c r="B13" i="24"/>
  <c r="C8" i="24" s="1"/>
  <c r="D9" i="24"/>
  <c r="D8" i="24"/>
  <c r="D7" i="24"/>
  <c r="D6" i="24"/>
  <c r="D5" i="24"/>
  <c r="C5" i="24"/>
  <c r="D4" i="24"/>
  <c r="D3" i="24"/>
  <c r="D2" i="24"/>
  <c r="D129" i="14"/>
  <c r="D130" i="14" s="1"/>
  <c r="D123" i="14"/>
  <c r="D124" i="14" s="1"/>
  <c r="D113" i="14"/>
  <c r="D114" i="14" s="1"/>
  <c r="D115" i="14" s="1"/>
  <c r="D116" i="14" s="1"/>
  <c r="D117" i="14" s="1"/>
  <c r="D101" i="14"/>
  <c r="D102" i="14" s="1"/>
  <c r="D103" i="14" s="1"/>
  <c r="D104" i="14" s="1"/>
  <c r="D105" i="14" s="1"/>
  <c r="D106" i="14" s="1"/>
  <c r="D107" i="14" s="1"/>
  <c r="D96" i="14"/>
  <c r="D97" i="14" s="1"/>
  <c r="D83" i="14"/>
  <c r="D84" i="14" s="1"/>
  <c r="D85" i="14" s="1"/>
  <c r="D86" i="14" s="1"/>
  <c r="D87" i="14" s="1"/>
  <c r="D88" i="14" s="1"/>
  <c r="D89" i="14" s="1"/>
  <c r="D90" i="14" s="1"/>
  <c r="D71" i="14"/>
  <c r="D72" i="14" s="1"/>
  <c r="D73" i="14" s="1"/>
  <c r="D74" i="14" s="1"/>
  <c r="D75" i="14" s="1"/>
  <c r="D76" i="14" s="1"/>
  <c r="D77" i="14" s="1"/>
  <c r="D78" i="14" s="1"/>
  <c r="D79" i="14" s="1"/>
  <c r="D62" i="14"/>
  <c r="D63" i="14" s="1"/>
  <c r="D42" i="14"/>
  <c r="D43" i="14" s="1"/>
  <c r="D44" i="14" s="1"/>
  <c r="D45" i="14" s="1"/>
  <c r="D46" i="14" s="1"/>
  <c r="D47" i="14" s="1"/>
  <c r="D48" i="14" s="1"/>
  <c r="D49" i="14" s="1"/>
  <c r="D50" i="14" s="1"/>
  <c r="D21" i="14"/>
  <c r="D22" i="14" s="1"/>
  <c r="D23" i="14" s="1"/>
  <c r="D24" i="14" s="1"/>
  <c r="D25" i="14" s="1"/>
  <c r="D26" i="14" s="1"/>
  <c r="D27" i="14" s="1"/>
  <c r="D9" i="14"/>
  <c r="D10" i="14" s="1"/>
  <c r="D11" i="14" s="1"/>
  <c r="D12" i="14" s="1"/>
  <c r="D13" i="14" s="1"/>
  <c r="D14" i="14" s="1"/>
  <c r="D15" i="14" s="1"/>
  <c r="D16" i="14" s="1"/>
  <c r="B18" i="34" l="1"/>
  <c r="B13" i="34"/>
  <c r="D12" i="34"/>
  <c r="B18" i="33"/>
  <c r="B13" i="33"/>
  <c r="D12" i="33"/>
  <c r="B18" i="31"/>
  <c r="B13" i="31"/>
  <c r="D12" i="31"/>
  <c r="B18" i="30"/>
  <c r="B13" i="30"/>
  <c r="D12" i="30"/>
  <c r="B18" i="29"/>
  <c r="B13" i="29"/>
  <c r="B18" i="28"/>
  <c r="B13" i="28"/>
  <c r="B18" i="27"/>
  <c r="B13" i="27"/>
  <c r="B18" i="26"/>
  <c r="B13" i="26"/>
  <c r="B12" i="25"/>
  <c r="B18" i="25" s="1"/>
  <c r="C9" i="24"/>
  <c r="C6" i="24"/>
  <c r="C2" i="24"/>
  <c r="C7" i="24"/>
  <c r="C3" i="24"/>
  <c r="C4" i="24"/>
  <c r="C5" i="34" l="1"/>
  <c r="E3" i="34"/>
  <c r="D3" i="34" s="1"/>
  <c r="C8" i="34"/>
  <c r="E6" i="34"/>
  <c r="D6" i="34" s="1"/>
  <c r="E9" i="34"/>
  <c r="D9" i="34" s="1"/>
  <c r="C3" i="34"/>
  <c r="C6" i="34"/>
  <c r="E4" i="34"/>
  <c r="D4" i="34" s="1"/>
  <c r="C9" i="34"/>
  <c r="E7" i="34"/>
  <c r="D7" i="34" s="1"/>
  <c r="E8" i="34"/>
  <c r="D8" i="34" s="1"/>
  <c r="C2" i="34"/>
  <c r="A20" i="34" s="1"/>
  <c r="C4" i="34"/>
  <c r="E2" i="34"/>
  <c r="D2" i="34" s="1"/>
  <c r="C7" i="34"/>
  <c r="E5" i="34"/>
  <c r="D5" i="34" s="1"/>
  <c r="C5" i="33"/>
  <c r="E3" i="33"/>
  <c r="D3" i="33" s="1"/>
  <c r="C8" i="33"/>
  <c r="E6" i="33"/>
  <c r="D6" i="33" s="1"/>
  <c r="C7" i="33"/>
  <c r="E8" i="33"/>
  <c r="D8" i="33" s="1"/>
  <c r="E9" i="33"/>
  <c r="D9" i="33" s="1"/>
  <c r="C3" i="33"/>
  <c r="C6" i="33"/>
  <c r="E4" i="33"/>
  <c r="D4" i="33" s="1"/>
  <c r="C9" i="33"/>
  <c r="E7" i="33"/>
  <c r="D7" i="33" s="1"/>
  <c r="C4" i="33"/>
  <c r="E2" i="33"/>
  <c r="D2" i="33" s="1"/>
  <c r="E5" i="33"/>
  <c r="D5" i="33" s="1"/>
  <c r="C2" i="33"/>
  <c r="A20" i="33" s="1"/>
  <c r="C5" i="31"/>
  <c r="E3" i="31"/>
  <c r="D3" i="31" s="1"/>
  <c r="C8" i="31"/>
  <c r="E6" i="31"/>
  <c r="D6" i="31" s="1"/>
  <c r="E7" i="31"/>
  <c r="D7" i="31" s="1"/>
  <c r="E9" i="31"/>
  <c r="D9" i="31" s="1"/>
  <c r="C3" i="31"/>
  <c r="C6" i="31"/>
  <c r="E4" i="31"/>
  <c r="D4" i="31" s="1"/>
  <c r="C9" i="31"/>
  <c r="C4" i="31"/>
  <c r="E2" i="31"/>
  <c r="D2" i="31" s="1"/>
  <c r="E8" i="31"/>
  <c r="D8" i="31" s="1"/>
  <c r="C2" i="31"/>
  <c r="A20" i="31" s="1"/>
  <c r="C7" i="31"/>
  <c r="E5" i="31"/>
  <c r="D5" i="31" s="1"/>
  <c r="C5" i="30"/>
  <c r="E3" i="30"/>
  <c r="D3" i="30" s="1"/>
  <c r="C8" i="30"/>
  <c r="E6" i="30"/>
  <c r="D6" i="30" s="1"/>
  <c r="E9" i="30"/>
  <c r="D9" i="30" s="1"/>
  <c r="C3" i="30"/>
  <c r="C6" i="30"/>
  <c r="E4" i="30"/>
  <c r="D4" i="30" s="1"/>
  <c r="C9" i="30"/>
  <c r="E7" i="30"/>
  <c r="D7" i="30" s="1"/>
  <c r="C4" i="30"/>
  <c r="E2" i="30"/>
  <c r="D2" i="30" s="1"/>
  <c r="C7" i="30"/>
  <c r="E5" i="30"/>
  <c r="D5" i="30" s="1"/>
  <c r="E8" i="30"/>
  <c r="D8" i="30" s="1"/>
  <c r="C2" i="30"/>
  <c r="A20" i="30" s="1"/>
  <c r="C8" i="29"/>
  <c r="E6" i="29"/>
  <c r="D6" i="29" s="1"/>
  <c r="E9" i="29"/>
  <c r="D9" i="29" s="1"/>
  <c r="C3" i="29"/>
  <c r="C6" i="29"/>
  <c r="E4" i="29"/>
  <c r="D4" i="29" s="1"/>
  <c r="C7" i="29"/>
  <c r="E5" i="29"/>
  <c r="D5" i="29" s="1"/>
  <c r="C9" i="29"/>
  <c r="E7" i="29"/>
  <c r="D7" i="29" s="1"/>
  <c r="C4" i="29"/>
  <c r="E2" i="29"/>
  <c r="D2" i="29" s="1"/>
  <c r="E8" i="29"/>
  <c r="D8" i="29" s="1"/>
  <c r="C5" i="29"/>
  <c r="E3" i="29"/>
  <c r="D3" i="29" s="1"/>
  <c r="C2" i="29"/>
  <c r="A20" i="29" s="1"/>
  <c r="E3" i="28"/>
  <c r="D3" i="28" s="1"/>
  <c r="E4" i="28"/>
  <c r="D4" i="28" s="1"/>
  <c r="E9" i="28"/>
  <c r="D9" i="28" s="1"/>
  <c r="E5" i="28"/>
  <c r="D5" i="28" s="1"/>
  <c r="E6" i="28"/>
  <c r="D6" i="28" s="1"/>
  <c r="E7" i="28"/>
  <c r="D7" i="28" s="1"/>
  <c r="E8" i="28"/>
  <c r="D8" i="28" s="1"/>
  <c r="E2" i="28"/>
  <c r="D2" i="28" s="1"/>
  <c r="C9" i="28"/>
  <c r="C5" i="28"/>
  <c r="C8" i="28"/>
  <c r="C4" i="28"/>
  <c r="C2" i="28"/>
  <c r="A20" i="28" s="1"/>
  <c r="C7" i="28"/>
  <c r="C3" i="28"/>
  <c r="C6" i="28"/>
  <c r="C3" i="27"/>
  <c r="C4" i="27"/>
  <c r="C5" i="27"/>
  <c r="C6" i="27"/>
  <c r="C7" i="27"/>
  <c r="C8" i="27"/>
  <c r="C9" i="27"/>
  <c r="C2" i="27"/>
  <c r="A20" i="27" s="1"/>
  <c r="A21" i="27" s="1"/>
  <c r="A22" i="27" s="1"/>
  <c r="A23" i="27" s="1"/>
  <c r="A24" i="27" s="1"/>
  <c r="A25" i="27" s="1"/>
  <c r="A26" i="27" s="1"/>
  <c r="A27" i="27" s="1"/>
  <c r="B13" i="25"/>
  <c r="C5" i="26"/>
  <c r="C8" i="26"/>
  <c r="C4" i="26"/>
  <c r="C7" i="26"/>
  <c r="C3" i="26"/>
  <c r="C6" i="26"/>
  <c r="C2" i="26"/>
  <c r="A20" i="26" s="1"/>
  <c r="C9" i="26"/>
  <c r="C7" i="25"/>
  <c r="C4" i="25"/>
  <c r="C9" i="25"/>
  <c r="C5" i="25"/>
  <c r="A21" i="34" l="1"/>
  <c r="A22" i="34" s="1"/>
  <c r="A23" i="34" s="1"/>
  <c r="A24" i="34" s="1"/>
  <c r="A25" i="34" s="1"/>
  <c r="A26" i="34" s="1"/>
  <c r="A27" i="34" s="1"/>
  <c r="A21" i="33"/>
  <c r="A22" i="33" s="1"/>
  <c r="A23" i="33" s="1"/>
  <c r="A24" i="33" s="1"/>
  <c r="A25" i="33" s="1"/>
  <c r="A26" i="33" s="1"/>
  <c r="A27" i="33" s="1"/>
  <c r="A21" i="31"/>
  <c r="A22" i="31" s="1"/>
  <c r="A23" i="31" s="1"/>
  <c r="A24" i="31" s="1"/>
  <c r="A25" i="31" s="1"/>
  <c r="A26" i="31" s="1"/>
  <c r="A27" i="31" s="1"/>
  <c r="A21" i="30"/>
  <c r="A22" i="30" s="1"/>
  <c r="A23" i="30" s="1"/>
  <c r="A24" i="30" s="1"/>
  <c r="A25" i="30" s="1"/>
  <c r="A26" i="30" s="1"/>
  <c r="A27" i="30" s="1"/>
  <c r="A21" i="29"/>
  <c r="A22" i="29" s="1"/>
  <c r="A23" i="29" s="1"/>
  <c r="A24" i="29" s="1"/>
  <c r="A25" i="29" s="1"/>
  <c r="A26" i="29" s="1"/>
  <c r="A27" i="29" s="1"/>
  <c r="A21" i="28"/>
  <c r="A22" i="28" s="1"/>
  <c r="A23" i="28" s="1"/>
  <c r="A24" i="28" s="1"/>
  <c r="A25" i="28" s="1"/>
  <c r="A26" i="28" s="1"/>
  <c r="A27" i="28" s="1"/>
  <c r="C6" i="25"/>
  <c r="C3" i="25"/>
  <c r="C2" i="25"/>
  <c r="A20" i="25" s="1"/>
  <c r="A21" i="25" s="1"/>
  <c r="A22" i="25" s="1"/>
  <c r="A23" i="25" s="1"/>
  <c r="A24" i="25" s="1"/>
  <c r="A25" i="25" s="1"/>
  <c r="A26" i="25" s="1"/>
  <c r="A27" i="25" s="1"/>
  <c r="C8" i="25"/>
  <c r="A21" i="26"/>
  <c r="A22" i="26" s="1"/>
  <c r="A23" i="26" s="1"/>
  <c r="A24" i="26" s="1"/>
  <c r="A25" i="26" s="1"/>
  <c r="A26" i="26" s="1"/>
  <c r="A27" i="26" s="1"/>
</calcChain>
</file>

<file path=xl/sharedStrings.xml><?xml version="1.0" encoding="utf-8"?>
<sst xmlns="http://schemas.openxmlformats.org/spreadsheetml/2006/main" count="586" uniqueCount="126">
  <si>
    <t>Aspirin 80mg</t>
  </si>
  <si>
    <t>Item</t>
  </si>
  <si>
    <t>Qty Available</t>
  </si>
  <si>
    <t>Qty Needed</t>
  </si>
  <si>
    <t>Dosage per week</t>
  </si>
  <si>
    <t>Date Purchase:</t>
  </si>
  <si>
    <t>Learn as much as possible on what are needed in the projects</t>
  </si>
  <si>
    <t>To be able to have a good relationships with teammates</t>
  </si>
  <si>
    <t>To learn as much acronyms used in Fujitsu as possible</t>
  </si>
  <si>
    <t>Metformin Hydrochloride 1000mg (Fornidd XR)</t>
  </si>
  <si>
    <t>3½</t>
  </si>
  <si>
    <t>3 ½</t>
  </si>
  <si>
    <t>Dosage per Month</t>
  </si>
  <si>
    <t>15½</t>
  </si>
  <si>
    <r>
      <t>Spironolactone</t>
    </r>
    <r>
      <rPr>
        <sz val="12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½ 50mg (W)</t>
    </r>
  </si>
  <si>
    <r>
      <rPr>
        <sz val="20"/>
        <color theme="1"/>
        <rFont val="Calibri"/>
        <family val="2"/>
        <scheme val="minor"/>
      </rPr>
      <t xml:space="preserve">Empagliflozin Linagliptin </t>
    </r>
    <r>
      <rPr>
        <sz val="16"/>
        <color theme="1"/>
        <rFont val="Calibri"/>
        <family val="2"/>
        <scheme val="minor"/>
      </rPr>
      <t xml:space="preserve">
25mg/10mg(D)</t>
    </r>
  </si>
  <si>
    <t>Gliclazide MR 60mg (D) (Melandy MR)</t>
  </si>
  <si>
    <t>Dosage per Day</t>
  </si>
  <si>
    <t>Days</t>
  </si>
  <si>
    <t>Qty needed</t>
  </si>
  <si>
    <t>0</t>
  </si>
  <si>
    <t>3</t>
  </si>
  <si>
    <t>1</t>
  </si>
  <si>
    <t>1.5</t>
  </si>
  <si>
    <t>2</t>
  </si>
  <si>
    <t>6</t>
  </si>
  <si>
    <t>4</t>
  </si>
  <si>
    <t>.5</t>
  </si>
  <si>
    <t>7</t>
  </si>
  <si>
    <r>
      <t xml:space="preserve">Entresto </t>
    </r>
    <r>
      <rPr>
        <sz val="24"/>
        <color theme="1"/>
        <rFont val="Calibri"/>
        <family val="2"/>
      </rPr>
      <t>(V)</t>
    </r>
    <r>
      <rPr>
        <sz val="24"/>
        <color theme="1"/>
        <rFont val="Calibri"/>
        <family val="2"/>
        <scheme val="minor"/>
      </rPr>
      <t xml:space="preserve"> </t>
    </r>
    <r>
      <rPr>
        <b/>
        <sz val="24"/>
        <color theme="1"/>
        <rFont val="Calibri"/>
        <family val="2"/>
        <scheme val="minor"/>
      </rPr>
      <t>200mg</t>
    </r>
  </si>
  <si>
    <r>
      <t xml:space="preserve">Carvedilol (H) </t>
    </r>
    <r>
      <rPr>
        <sz val="18"/>
        <color theme="1"/>
        <rFont val="Calibri"/>
        <family val="2"/>
        <scheme val="minor"/>
      </rPr>
      <t>25mg/tab</t>
    </r>
  </si>
  <si>
    <r>
      <t>Rosuvastatin (</t>
    </r>
    <r>
      <rPr>
        <sz val="14"/>
        <color theme="1"/>
        <rFont val="Calibri"/>
        <family val="2"/>
        <scheme val="minor"/>
      </rPr>
      <t>Rovista/Rosewin</t>
    </r>
    <r>
      <rPr>
        <sz val="18"/>
        <color theme="1"/>
        <rFont val="Calibri"/>
        <family val="2"/>
        <scheme val="minor"/>
      </rPr>
      <t>) 
5mg (MWF)</t>
    </r>
  </si>
  <si>
    <t>5.5</t>
  </si>
  <si>
    <r>
      <rPr>
        <sz val="20"/>
        <color theme="1"/>
        <rFont val="Calibri"/>
        <family val="2"/>
        <scheme val="minor"/>
      </rPr>
      <t xml:space="preserve">Empagliflozin Linagliptin </t>
    </r>
    <r>
      <rPr>
        <sz val="16"/>
        <color theme="1"/>
        <rFont val="Calibri"/>
        <family val="2"/>
        <scheme val="minor"/>
      </rPr>
      <t xml:space="preserve">
25mg/10mg(D)</t>
    </r>
    <r>
      <rPr>
        <sz val="11"/>
        <color theme="1"/>
        <rFont val="Calibri"/>
        <family val="2"/>
        <scheme val="minor"/>
      </rPr>
      <t>(25mg/5mg(D))</t>
    </r>
  </si>
  <si>
    <t>Gliclazide MR 60mg (D) (Melandy MR/Zeltine-MR)</t>
  </si>
  <si>
    <t>8</t>
  </si>
  <si>
    <t>15</t>
  </si>
  <si>
    <t>Up to Date</t>
  </si>
  <si>
    <t>Number of Days</t>
  </si>
  <si>
    <t>Carvedilol (H) 25mg/tab</t>
  </si>
  <si>
    <t>Subutril-Valsartan(V) 200mg</t>
  </si>
  <si>
    <t>Empagliflozin Linagliptin 
25mg/10mg(D)(25mg/5mg(D))</t>
  </si>
  <si>
    <t>Rosuvastatin (Rovista/Rosewin) 
5mg (MWF)</t>
  </si>
  <si>
    <t>Spironolactone ½ 50mg (W)</t>
  </si>
  <si>
    <t>do you have the following:
21 pcs. Gliclazide MR 60mg (D) (Melandy MR/Zeltine-MR), 
14 pcs. Carvedilol (H) 25mg/tab, 
9 pcs. Subutril-Valsartan(V) 200mg, 
25 pcs. Empagliflozin Linagliptin 
25mg/10mg(D)(25mg/5mg(D)), 
60 pcs. Metformin Hydrochloride 1000mg (Fornidd XR), 
22 pcs. Aspirin 80mg, 
10 pcs. Rosuvastatin (Rovista/Rosewin) 5mg (MWF), 
12 pcs. Spironolactone ½ 50mg (W)
please text me unsay wala or kulang</t>
  </si>
  <si>
    <t>Next Cut-off</t>
  </si>
  <si>
    <t xml:space="preserve">29 pcs. Gliclazide MR 60mg (D) (Melandy MR/Zeltine-MR), 
_x000D_26 pcs. Carvedilol (H) 25mg/tab, 
_x000D_30 pcs. Empagliflozin Linagliptin 
25mg/10mg(D)(25mg/5mg(D)), 
_x000D_40 pcs. Metformin Hydrochloride 1000mg (Fornidd XR), 
_x000D_29 pcs. Aspirin 80mg, 
_x000D_13 pcs. Rosuvastatin (Rovista/Rosewin) 
5mg (MWF), 
_x000D_13 pcs. Spironolactone ½ 50mg (W), </t>
  </si>
  <si>
    <t xml:space="preserve">29 pcs. Gliclazide MR 60mg (D) (Melandy MR/Zeltine-MR), </t>
  </si>
  <si>
    <t xml:space="preserve">26 pcs. Carvedilol (H) 25mg/tab, </t>
  </si>
  <si>
    <t xml:space="preserve">30 pcs. Empagliflozin Linagliptin </t>
  </si>
  <si>
    <t xml:space="preserve">25mg/10mg(D)(25mg/5mg(D)), </t>
  </si>
  <si>
    <t xml:space="preserve">40 pcs. Metformin Hydrochloride 1000mg (Fornidd XR), </t>
  </si>
  <si>
    <t xml:space="preserve">29 pcs. Aspirin 80mg, </t>
  </si>
  <si>
    <t xml:space="preserve">13 pcs. Spironolactone ½ 50mg (W), </t>
  </si>
  <si>
    <t xml:space="preserve">29 pcs. Gliclazide MR 60mg (D) (Melandy MR/Zeltine-MR), 
26 pcs. Carvedilol (H) 25mg/tab, 
30 pcs. Empagliflozin Linagliptin 
25mg/10mg(D)(25mg/5mg(D)), 
40 pcs. Metformin Hydrochloride 1000mg (Fornidd XR), 
29 pcs. Aspirin 80mg, 
13 pcs. Rosuvastatin (Rovista/Rosewin) 5mg (MWF), 
13 pcs. Spironolactone ½ 50mg (W), </t>
  </si>
  <si>
    <t xml:space="preserve">13 pcs. Rosuvastatin (Rovista/Rosewin) 5mg (MWF), </t>
  </si>
  <si>
    <r>
      <t>Subutril-Valsartan</t>
    </r>
    <r>
      <rPr>
        <sz val="18"/>
        <color theme="1"/>
        <rFont val="Calibri"/>
        <family val="2"/>
      </rPr>
      <t>(V)</t>
    </r>
    <r>
      <rPr>
        <sz val="18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 xml:space="preserve">200mg
</t>
    </r>
    <r>
      <rPr>
        <sz val="18"/>
        <color theme="1"/>
        <rFont val="Calibri"/>
        <family val="2"/>
        <scheme val="minor"/>
      </rPr>
      <t>Vymada</t>
    </r>
  </si>
  <si>
    <t>Omacor 460mg/380mg (B)</t>
  </si>
  <si>
    <t>Subutril-Valsartan(V) 200mg
Vymada</t>
  </si>
  <si>
    <t xml:space="preserve">29 pcs. Carvedilol (H) 25mg/tab, </t>
  </si>
  <si>
    <t xml:space="preserve">57 pcs. Metformin Hydrochloride 1000mg (Fornidd XR), </t>
  </si>
  <si>
    <t xml:space="preserve">35 pcs. Aspirin 80mg, </t>
  </si>
  <si>
    <t>16 pcs. Spironolactone ½ 50mg (W)</t>
  </si>
  <si>
    <t xml:space="preserve">29 pcs. Gliclazide MR 60mg (D) (Melandy MR/Zeltine-MR), 
29 pcs. Carvedilol (H) 25mg/tab, 
35 pcs. Empagliflozin Linagliptin 25mg/10mg(D)(25mg/5mg(D)), 
57 pcs. Metformin Hydrochloride 1000mg (Fornidd XR), 
35 pcs. Aspirin 80mg, 
14 pcs. Rosuvastatin (Rovista/Rosewin) 5mg (MWF), 
16 pcs. Spironolactone ½ 50mg (W), </t>
  </si>
  <si>
    <t xml:space="preserve">35 pcs. Empagliflozin Linagliptin 25mg/10mg(D)(25mg/5mg(D)), </t>
  </si>
  <si>
    <t xml:space="preserve">14 pcs. Rosuvastatin (Rovista/Rosewin) 5mg (MWF), </t>
  </si>
  <si>
    <t xml:space="preserve">37 pcs. Metformin Hydrochloride 1000mg (Fornidd XR), 
8 pcs. Spironolactone ½ 50mg (W), </t>
  </si>
  <si>
    <t xml:space="preserve">37 pcs. Metformin Hydrochloride 1000mg (Fornidd XR), </t>
  </si>
  <si>
    <t>8 pcs. Spironolactone ½ 50mg (W)</t>
  </si>
  <si>
    <t>13</t>
  </si>
  <si>
    <t>Carvedilol (H) 25mg/tab (Cardipres)</t>
  </si>
  <si>
    <t>29 pcs. Gliclazide MR 60mg (D) (Melandy MR/Zeltine-MR), 
25 pcs. Carvedilol (H) 25mg/tab (Cardipres), 
28 pcs. Empagliflozin Linagliptin 25mg/10mg(D)(25mg/5mg(D)), 
49 pcs. Metformin Hydrochloride 1000mg (Fornidd XR), 
27 pcs. Aspirin 80mg, 
12.2857142857143 pcs. Rosuvastatin (Rovista/Rosewin) 5mg (MWF), 
13 pcs. Spironolactone ½ 50mg (W)</t>
  </si>
  <si>
    <t>9</t>
  </si>
  <si>
    <t>28 pcs. Gliclazide MR 60mg (D) (Melandy MR/Zeltine-MR), 
28 pcs. Carvedilol (H) 25mg/tab (Cardipres), 
27 pcs. Empagliflozin Linagliptin 25mg/10mg(D)(25mg/5mg(D)), 
53 pcs. Metformin Hydrochloride 1000mg (Fornidd XR), 
28 pcs. Aspirin 80mg, 
11 pcs. Rosuvastatin (Rovista/Rosewin) 5mg (MWF), 
14 pcs. Spironolactone ½ 50mg (W)</t>
  </si>
  <si>
    <t xml:space="preserve">51 pcs. Metformin Hydrochloride 1000mg (Fornidd XR), 
14 pcs. Spironolactone ½ 50mg (W), </t>
  </si>
  <si>
    <t>35 pcs. Gliclazide MR 60mg (D) (Melandy MR/Zeltine-MR), 
31 pcs. Carvedilol (H) 25mg/tab (Cardipres), 
35 pcs. Empagliflozin Linagliptin 25mg/10mg(D)(25mg/5mg(D)), 
67 pcs. Metformin Hydrochloride 1000mg (Fornidd XR), 
35 pcs. Aspirin 80mg, 
15 pcs. Rosuvastatin (Rovista/Rosewin) 5mg (MWF), 
15 pcs. Spironolactone ½ 50mg (W)</t>
  </si>
  <si>
    <t>17</t>
  </si>
  <si>
    <t xml:space="preserve">27 pcs. Gliclazide MR 60mg (D) (Melandy MR/Zeltine-MR), 
28 pcs. Carvedilol (H) 25mg/tab, 
49 pcs. Metformin Hydrochloride 1000mg (Fornidd XR), 
28 pcs. Aspirin 80mg, 
12 pcs. Spironolactone ½ 50mg (W), </t>
  </si>
  <si>
    <t xml:space="preserve">33 pcs. Empagliflozin Linagliptin 25mg/10mg(D)(25mg/5mg(D)), 
14 pcs. Rosuvastatin (Rovista/Rosewin) 5mg (MWF), </t>
  </si>
  <si>
    <t>12</t>
  </si>
  <si>
    <t>19</t>
  </si>
  <si>
    <t>Gliclazide MR 60mg (D) (Zeltine MR/Melandy-MR)</t>
  </si>
  <si>
    <t>6 pcs. Gliclazide MR 60mg (D) (Zeltine MR/Melandy-MR), 
34 pcs. Metformin Hydrochloride 1000mg (Fornidd XR)</t>
  </si>
  <si>
    <r>
      <rPr>
        <sz val="20"/>
        <color theme="1"/>
        <rFont val="Calibri"/>
        <family val="2"/>
        <scheme val="minor"/>
      </rPr>
      <t xml:space="preserve">Carvedilol (H) 25mg/tab 
</t>
    </r>
    <r>
      <rPr>
        <sz val="8"/>
        <color theme="1"/>
        <rFont val="Calibri"/>
        <family val="2"/>
        <scheme val="minor"/>
      </rPr>
      <t>(BetaCard, Cardipres)</t>
    </r>
  </si>
  <si>
    <t>Carvedilol (H) 25mg/tab (BetaCard, Cardipres)</t>
  </si>
  <si>
    <t xml:space="preserve">29 pcs. Gliclazide MR 60mg (D) (Zeltine MR/Melandy-MR), 
25 pcs. Carvedilol (H) 25mg/tab (BetaCard, Cardipres), 
27 pcs. Empagliflozin Linagliptin 25mg/10mg(D)(25mg/5mg(D)), 
50 pcs. Metformin Hydrochloride 1000mg (Fornidd XR), 
27 pcs. Aspirin 80mg, 
11 pcs. Rosuvastatin (Rovista/Rosewin) 5mg (MWF), 
11 pcs. Spironolactone ½ 50mg (W), </t>
  </si>
  <si>
    <t>Carvedilol (H) 25mg/tab 
(BetaCard, Cardipres)</t>
  </si>
  <si>
    <t xml:space="preserve">42 pcs. Gliclazide MR 60mg (D) (Zeltine MR/Melandy-MR), 
44 pcs. Carvedilol (H) 25mg/tab (BetaCard, Cardipres), 
26 pcs. Empagliflozin Linagliptin 25mg/10mg(D)(25mg/5mg(D)), 
21 pcs. Metformin Hydrochloride 1000mg (Fornidd XR), 
26 pcs. Aspirin 80mg, 
27 pcs. Rosuvastatin (Rovista/Rosewin) 5mg (MWF), 
10 pcs. Spironolactone ½ 50mg (W), </t>
  </si>
  <si>
    <t>7.5</t>
  </si>
  <si>
    <t>11</t>
  </si>
  <si>
    <t xml:space="preserve">31 pcs. Gliclazide MR 60mg (D) (Zeltine MR/Melandy-MR), 
52 pcs. Carvedilol (H) 25mg/tab (BetaCard, Cardipres), 
28 pcs. Empagliflozin Linagliptin 25mg/10mg(D)(25mg/5mg(D)), 
17 pcs. Metformin Hydrochloride 1000mg (Fornidd XR), 
28 pcs. Aspirin 80mg, 
19 pcs. Rosuvastatin (Rovista/Rosewin) 5mg (MWF), 
13 pcs. Spironolactone ½ 50mg (W), </t>
  </si>
  <si>
    <t>14</t>
  </si>
  <si>
    <t>18</t>
  </si>
  <si>
    <t xml:space="preserve">7 pcs. Gliclazide MR 60mg (D) (Zeltine MR/Melandy-MR), 
10 pcs. Carvedilol (H) 25mg/tab (BetaCard, Cardipres), 
6 pcs. Subutril-Valsartan(V) 200mgVymada, 
1 pcs. Empagliflozin Linagliptin 25mg/10mg(D)(25mg/5mg(D)), 
11 pcs. Metformin Hydrochloride 1000mg (Fornidd XR), 
2 pcs. Aspirin 80mg, 
6 pcs. Rosuvastatin (Rovista/Rosewin) 5mg (MWF), 
5 pcs. Spironolactone ½ 50mg (W), </t>
  </si>
  <si>
    <t>Metformin Hydrochloride 1000mg (Proglutrol)</t>
  </si>
  <si>
    <t>1.2</t>
  </si>
  <si>
    <t>51 pcs. Gliclazide MR 60mg (D) (Zeltine MR/Melandy-MR), 
62 pcs. Carvedilol (H) 25mg/tab (BetaCard, Cardipres), 
33 pcs. Empagliflozin Linagliptin 25mg/10mg(D)(25mg/5mg(D)), 
22 pcs. Metformin Hydrochloride 1000mg (Proglutrol), 
33 pcs. Aspirin 80mg, 
28 pcs. Rosuvastatin (Rovista/Rosewin) 5mg (MWF), 
16 pcs. Spironolactone ½ 50mg (W)</t>
  </si>
  <si>
    <t>15.</t>
  </si>
  <si>
    <t>44 pcs. Gliclazide MR 60mg (D) (Zeltine MR/Melandy-MR), 
52 pcs. Carvedilol (H) 25mg/tab (BetaCard, Cardipres), 
29 pcs. Empagliflozin Linagliptin 25mg/10mg(D)(25mg/5mg(D)), 
23 pcs. Metformin Hydrochloride 1000mg (Proglutrol), 
27 pcs. Aspirin 80mg, 
21 pcs. Rosuvastatin (Rovista/Rosewin) 5mg (MWF), 
14 pcs. Spironolactone ½ 50mg (W)</t>
  </si>
  <si>
    <t xml:space="preserve">36 pcs. Gliclazide MR 60mg (D) (Zeltine MR/Melandy-MR), 
49 pcs. Carvedilol (H) 25mg/tab (BetaCard, Cardipres), 
26 pcs. Empagliflozin Linagliptin 25mg/10mg(D)(25mg/5mg(D)), 
25 pcs. Metformin Hydrochloride 1000mg (Proglutrol), 
27 pcs. Aspirin 80mg, 
24 pcs. Rosuvastatin (Rovista/Rosewin) 5mg (MWF), 
14 pcs. Spironolactone ½ 50mg (W), </t>
  </si>
  <si>
    <r>
      <t>Rosuvastatin (</t>
    </r>
    <r>
      <rPr>
        <sz val="14"/>
        <color theme="1"/>
        <rFont val="Calibri"/>
        <family val="2"/>
        <scheme val="minor"/>
      </rPr>
      <t>Rovista/Rosewin</t>
    </r>
    <r>
      <rPr>
        <sz val="18"/>
        <color theme="1"/>
        <rFont val="Calibri"/>
        <family val="2"/>
        <scheme val="minor"/>
      </rPr>
      <t>) 
5mg</t>
    </r>
  </si>
  <si>
    <t xml:space="preserve">49 pcs. Gliclazide MR 60mg (D) (Zeltine MR/Melandy-MR), 
64 pcs. Carvedilol (H) 25mg/tab (BetaCard, Cardipres), 
32 pcs. Empagliflozin Linagliptin 25mg/10mg(D)(25mg/5mg(D)), 
31 pcs. Metformin Hydrochloride 1000mg (Proglutrol), 
32 pcs. Aspirin 80mg, 
33 pcs. Rosuvastatin (Rovista/Rosewin) 5mg, 
16 pcs. Spironolactone ½ 50mg (W), </t>
  </si>
  <si>
    <t>Gliclazide MR</t>
  </si>
  <si>
    <t>Carvedilol</t>
  </si>
  <si>
    <t>Subutril-Valsartan</t>
  </si>
  <si>
    <t xml:space="preserve">Empagliflozin Linagliptin </t>
  </si>
  <si>
    <t xml:space="preserve"> high blood sugar levels caused by type 2 diabetes</t>
  </si>
  <si>
    <t>chronic heart failure</t>
  </si>
  <si>
    <t>a serious condition in which the heart doesn't pump blood</t>
  </si>
  <si>
    <t>high blood pressure (hypertension)</t>
  </si>
  <si>
    <t xml:space="preserve">blood glucose (sugar) in patients with Type II diabetes mellitus. </t>
  </si>
  <si>
    <t>treat type 2 diabetes</t>
  </si>
  <si>
    <t>Metformin Hydrochloride</t>
  </si>
  <si>
    <t>Aspirin</t>
  </si>
  <si>
    <t>to reduce fever and relieve mild to moderate pain from conditions such as muscle aches, toothaches, common cold, and headaches.
prevent a heart attack or clot-related stroke by interfering with how the blood clots</t>
  </si>
  <si>
    <t>Rosuvastatin</t>
  </si>
  <si>
    <t>to lower bad cholesterol (LDL) and triglycerides (fats) in the blood, and to increase your good cholesterol (HDL)</t>
  </si>
  <si>
    <t>Spironolactone</t>
  </si>
  <si>
    <t xml:space="preserve"> to treat high blood pressure (hypertension) and heart failure</t>
  </si>
  <si>
    <t>Sugar</t>
  </si>
  <si>
    <t>BP</t>
  </si>
  <si>
    <t>16</t>
  </si>
  <si>
    <t xml:space="preserve">41 pcs. Gliclazide MR 60mg (D) (Zeltine MR/Melandy-MR), 
54 pcs. Carvedilol (H) 25mg/tab (BetaCard, Cardipres), 
31 pcs. Empagliflozin Linagliptin 25mg/10mg(D)(25mg/5mg(D)), 
23 pcs. Metformin Hydrochloride 1000mg (Proglutrol), 
28 pcs. Aspirin 80mg, 
12 pcs. Rosuvastatin (Rovista/Rosewin) 5mg, 
14 pcs. Spironolactone ½ 50mg (W), </t>
  </si>
  <si>
    <r>
      <t>Rosuvastatin (</t>
    </r>
    <r>
      <rPr>
        <sz val="14"/>
        <color theme="1"/>
        <rFont val="Calibri"/>
        <family val="2"/>
        <scheme val="minor"/>
      </rPr>
      <t>Rovista/Rosewin</t>
    </r>
    <r>
      <rPr>
        <sz val="18"/>
        <color theme="1"/>
        <rFont val="Calibri"/>
        <family val="2"/>
        <scheme val="minor"/>
      </rPr>
      <t>) 
10mg</t>
    </r>
  </si>
  <si>
    <t>Metformin Hydrochloride 500mg (Proglutrol)</t>
  </si>
  <si>
    <t xml:space="preserve">45 pcs. Gliclazide MR 60mg (D) (Zeltine MR/Melandy-MR), 
34 pcs. Carvedilol (H) 25mg/tab (BetaCard, Cardipres), 
23 pcs. Empagliflozin Linagliptin 25mg/10mg(D)(25mg/5mg(D)), 
69 pcs. Metformin Hydrochloride 500mg (Proglutrol), 
20 pcs. Aspirin 80mg, 
18 pcs. Rosuvastatin (Rovista/Rosewin) 10mg, 
10 pcs. Spironolactone ½ 50mg (W),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</si>
</sst>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#,##0;[Red]#,##0"/>
    <numFmt numFmtId="166" formatCode="yyyy\-mm\-dd;@"/>
    <numFmt numFmtId="167" formatCode="ddd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1"/>
      <name val="Calibri"/>
      <family val="2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49" fontId="10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wrapText="1"/>
    </xf>
    <xf numFmtId="49" fontId="6" fillId="0" borderId="10" xfId="0" applyNumberFormat="1" applyFont="1" applyBorder="1" applyAlignment="1">
      <alignment horizontal="center" vertical="center"/>
    </xf>
    <xf numFmtId="165" fontId="5" fillId="0" borderId="11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 wrapText="1"/>
    </xf>
    <xf numFmtId="164" fontId="1" fillId="0" borderId="15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0" fontId="3" fillId="0" borderId="3" xfId="0" applyFont="1" applyBorder="1" applyAlignment="1">
      <alignment horizontal="center" wrapText="1"/>
    </xf>
    <xf numFmtId="166" fontId="0" fillId="0" borderId="0" xfId="0" applyNumberFormat="1"/>
    <xf numFmtId="167" fontId="8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left" vertical="top"/>
    </xf>
    <xf numFmtId="166" fontId="6" fillId="0" borderId="12" xfId="0" applyNumberFormat="1" applyFont="1" applyBorder="1" applyAlignment="1">
      <alignment horizontal="center" vertical="center"/>
    </xf>
    <xf numFmtId="49" fontId="10" fillId="0" borderId="1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166" fontId="6" fillId="0" borderId="19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112059</xdr:colOff>
      <xdr:row>0</xdr:row>
      <xdr:rowOff>0</xdr:rowOff>
    </xdr:from>
    <xdr:ext cx="4045324" cy="6322034"/>
    <xdr:pic>
      <xdr:nvPicPr>
        <xdr:cNvPr id="2" name="Picture 1">
          <a:extLst>
            <a:ext uri="{FF2B5EF4-FFF2-40B4-BE49-F238E27FC236}">
              <a16:creationId xmlns:a16="http://schemas.microsoft.com/office/drawing/2014/main" id="{85658B47-C578-4285-8F8F-B9B5141A8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34" y="0"/>
          <a:ext cx="4045324" cy="632203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112059</xdr:colOff>
      <xdr:row>0</xdr:row>
      <xdr:rowOff>0</xdr:rowOff>
    </xdr:from>
    <xdr:ext cx="4045324" cy="6322034"/>
    <xdr:pic>
      <xdr:nvPicPr>
        <xdr:cNvPr id="2" name="Picture 1">
          <a:extLst>
            <a:ext uri="{FF2B5EF4-FFF2-40B4-BE49-F238E27FC236}">
              <a16:creationId xmlns:a16="http://schemas.microsoft.com/office/drawing/2014/main" id="{E31B9CFF-1BFF-4FAE-872F-68B0B81A8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7434" y="0"/>
          <a:ext cx="4045324" cy="632203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112059</xdr:colOff>
      <xdr:row>0</xdr:row>
      <xdr:rowOff>0</xdr:rowOff>
    </xdr:from>
    <xdr:ext cx="4045324" cy="6322034"/>
    <xdr:pic>
      <xdr:nvPicPr>
        <xdr:cNvPr id="2" name="Picture 1">
          <a:extLst>
            <a:ext uri="{FF2B5EF4-FFF2-40B4-BE49-F238E27FC236}">
              <a16:creationId xmlns:a16="http://schemas.microsoft.com/office/drawing/2014/main" id="{255C2828-1491-42AB-963D-C4B1C46C7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34" y="0"/>
          <a:ext cx="4045324" cy="632203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112059</xdr:colOff>
      <xdr:row>0</xdr:row>
      <xdr:rowOff>0</xdr:rowOff>
    </xdr:from>
    <xdr:ext cx="4045324" cy="6322034"/>
    <xdr:pic>
      <xdr:nvPicPr>
        <xdr:cNvPr id="2" name="Picture 1">
          <a:extLst>
            <a:ext uri="{FF2B5EF4-FFF2-40B4-BE49-F238E27FC236}">
              <a16:creationId xmlns:a16="http://schemas.microsoft.com/office/drawing/2014/main" id="{0F791E37-FA5C-485B-A45A-C145011F4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34" y="0"/>
          <a:ext cx="4045324" cy="632203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112059</xdr:colOff>
      <xdr:row>0</xdr:row>
      <xdr:rowOff>0</xdr:rowOff>
    </xdr:from>
    <xdr:ext cx="4045324" cy="6322034"/>
    <xdr:pic>
      <xdr:nvPicPr>
        <xdr:cNvPr id="2" name="Picture 1">
          <a:extLst>
            <a:ext uri="{FF2B5EF4-FFF2-40B4-BE49-F238E27FC236}">
              <a16:creationId xmlns:a16="http://schemas.microsoft.com/office/drawing/2014/main" id="{C41E06BB-6CF6-41A3-A5DF-1F45DF1C2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34" y="0"/>
          <a:ext cx="4045324" cy="632203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112059</xdr:colOff>
      <xdr:row>0</xdr:row>
      <xdr:rowOff>0</xdr:rowOff>
    </xdr:from>
    <xdr:ext cx="4045324" cy="6322034"/>
    <xdr:pic>
      <xdr:nvPicPr>
        <xdr:cNvPr id="2" name="Picture 1">
          <a:extLst>
            <a:ext uri="{FF2B5EF4-FFF2-40B4-BE49-F238E27FC236}">
              <a16:creationId xmlns:a16="http://schemas.microsoft.com/office/drawing/2014/main" id="{C6B9D732-F33F-4223-831D-3A9E49C4F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34" y="0"/>
          <a:ext cx="4045324" cy="632203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112059</xdr:colOff>
      <xdr:row>0</xdr:row>
      <xdr:rowOff>0</xdr:rowOff>
    </xdr:from>
    <xdr:ext cx="4045324" cy="6322034"/>
    <xdr:pic>
      <xdr:nvPicPr>
        <xdr:cNvPr id="2" name="Picture 1">
          <a:extLst>
            <a:ext uri="{FF2B5EF4-FFF2-40B4-BE49-F238E27FC236}">
              <a16:creationId xmlns:a16="http://schemas.microsoft.com/office/drawing/2014/main" id="{FF451C1B-11AA-43BB-8C6E-1A2903282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7434" y="0"/>
          <a:ext cx="4045324" cy="632203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112059</xdr:colOff>
      <xdr:row>0</xdr:row>
      <xdr:rowOff>0</xdr:rowOff>
    </xdr:from>
    <xdr:ext cx="4045324" cy="6322034"/>
    <xdr:pic>
      <xdr:nvPicPr>
        <xdr:cNvPr id="2" name="Picture 1">
          <a:extLst>
            <a:ext uri="{FF2B5EF4-FFF2-40B4-BE49-F238E27FC236}">
              <a16:creationId xmlns:a16="http://schemas.microsoft.com/office/drawing/2014/main" id="{3067C546-C104-48FD-9B0E-04EE9B6C5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7434" y="0"/>
          <a:ext cx="4045324" cy="632203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112059</xdr:colOff>
      <xdr:row>0</xdr:row>
      <xdr:rowOff>0</xdr:rowOff>
    </xdr:from>
    <xdr:ext cx="4045324" cy="6322034"/>
    <xdr:pic>
      <xdr:nvPicPr>
        <xdr:cNvPr id="2" name="Picture 1">
          <a:extLst>
            <a:ext uri="{FF2B5EF4-FFF2-40B4-BE49-F238E27FC236}">
              <a16:creationId xmlns:a16="http://schemas.microsoft.com/office/drawing/2014/main" id="{ED9946B4-10DF-4322-91B2-0278892FA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7434" y="0"/>
          <a:ext cx="4045324" cy="632203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112059</xdr:colOff>
      <xdr:row>0</xdr:row>
      <xdr:rowOff>0</xdr:rowOff>
    </xdr:from>
    <xdr:ext cx="4045324" cy="6322034"/>
    <xdr:pic>
      <xdr:nvPicPr>
        <xdr:cNvPr id="2" name="Picture 1">
          <a:extLst>
            <a:ext uri="{FF2B5EF4-FFF2-40B4-BE49-F238E27FC236}">
              <a16:creationId xmlns:a16="http://schemas.microsoft.com/office/drawing/2014/main" id="{CC1258D7-93FE-46F4-9B0A-720D95894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7434" y="0"/>
          <a:ext cx="4045324" cy="632203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BB1D3-5B44-408C-BC6E-341CF852DBE7}">
  <dimension ref="A1:AD18"/>
  <sheetViews>
    <sheetView topLeftCell="A11" zoomScale="184" zoomScaleNormal="184" workbookViewId="0">
      <selection activeCell="A3" sqref="A3"/>
    </sheetView>
  </sheetViews>
  <sheetFormatPr defaultRowHeight="31.2" x14ac:dyDescent="0.6"/>
  <cols>
    <col min="1" max="1" width="45" style="3" bestFit="1" customWidth="1"/>
    <col min="2" max="2" width="9" style="14" bestFit="1" customWidth="1"/>
    <col min="3" max="3" width="8.109375" style="21" bestFit="1" customWidth="1"/>
    <col min="4" max="8" width="7.44140625" style="3" hidden="1" customWidth="1"/>
    <col min="9" max="9" width="45" style="3" hidden="1" customWidth="1"/>
    <col min="10" max="10" width="9.88671875" style="18" hidden="1" customWidth="1"/>
    <col min="11" max="11" width="8.5546875" style="7" hidden="1" customWidth="1"/>
    <col min="12" max="20" width="0" hidden="1" customWidth="1"/>
    <col min="24" max="24" width="9.88671875" bestFit="1" customWidth="1"/>
    <col min="29" max="29" width="11.33203125" bestFit="1" customWidth="1"/>
    <col min="30" max="30" width="9.88671875" bestFit="1" customWidth="1"/>
  </cols>
  <sheetData>
    <row r="1" spans="1:30" s="1" customFormat="1" ht="44.4" thickTop="1" thickBot="1" x14ac:dyDescent="0.35">
      <c r="A1" s="27" t="s">
        <v>1</v>
      </c>
      <c r="B1" s="28" t="s">
        <v>2</v>
      </c>
      <c r="C1" s="29" t="s">
        <v>3</v>
      </c>
      <c r="D1" s="12" t="s">
        <v>19</v>
      </c>
      <c r="E1" s="12" t="s">
        <v>18</v>
      </c>
      <c r="F1" s="12" t="s">
        <v>17</v>
      </c>
      <c r="G1" s="12" t="s">
        <v>4</v>
      </c>
      <c r="H1" s="12" t="s">
        <v>12</v>
      </c>
      <c r="I1" s="30" t="s">
        <v>1</v>
      </c>
      <c r="J1" s="31" t="s">
        <v>2</v>
      </c>
      <c r="K1" s="32" t="s">
        <v>3</v>
      </c>
    </row>
    <row r="2" spans="1:30" ht="47.4" thickTop="1" x14ac:dyDescent="0.45">
      <c r="A2" s="24" t="s">
        <v>81</v>
      </c>
      <c r="B2" s="25" t="s">
        <v>20</v>
      </c>
      <c r="C2" s="26">
        <f>MAX($B$13-B2)</f>
        <v>29</v>
      </c>
      <c r="D2" s="11">
        <f t="shared" ref="D2:D7" si="0">E2*F2</f>
        <v>29</v>
      </c>
      <c r="E2" s="11">
        <v>29</v>
      </c>
      <c r="F2" s="11">
        <v>1</v>
      </c>
      <c r="G2" s="11">
        <v>7</v>
      </c>
      <c r="H2" s="11">
        <v>31</v>
      </c>
      <c r="I2" s="24" t="s">
        <v>16</v>
      </c>
      <c r="J2" s="15"/>
      <c r="K2" s="2"/>
      <c r="L2">
        <v>19</v>
      </c>
      <c r="O2" t="s">
        <v>6</v>
      </c>
    </row>
    <row r="3" spans="1:30" ht="40.799999999999997" x14ac:dyDescent="0.6">
      <c r="A3" s="38" t="s">
        <v>83</v>
      </c>
      <c r="B3" s="19" t="s">
        <v>26</v>
      </c>
      <c r="C3" s="26">
        <f>MAX($B$13-B3)</f>
        <v>25</v>
      </c>
      <c r="D3" s="11">
        <f t="shared" si="0"/>
        <v>29</v>
      </c>
      <c r="E3" s="11">
        <v>29</v>
      </c>
      <c r="F3" s="11">
        <v>1</v>
      </c>
      <c r="G3" s="11">
        <v>7</v>
      </c>
      <c r="H3" s="11">
        <v>31</v>
      </c>
      <c r="I3" s="4" t="s">
        <v>30</v>
      </c>
      <c r="J3" s="16"/>
      <c r="K3" s="9"/>
      <c r="O3" t="s">
        <v>8</v>
      </c>
    </row>
    <row r="4" spans="1:30" ht="48.6" x14ac:dyDescent="0.6">
      <c r="A4" s="8" t="s">
        <v>56</v>
      </c>
      <c r="B4" s="19"/>
      <c r="C4" s="22">
        <f>MAX(($B$13/2)-B4,)</f>
        <v>14.5</v>
      </c>
      <c r="D4" s="11">
        <f t="shared" si="0"/>
        <v>14.5</v>
      </c>
      <c r="E4" s="11">
        <v>29</v>
      </c>
      <c r="F4" s="11">
        <v>0.5</v>
      </c>
      <c r="G4" s="11" t="s">
        <v>11</v>
      </c>
      <c r="H4" s="11" t="s">
        <v>13</v>
      </c>
      <c r="I4" s="4" t="s">
        <v>29</v>
      </c>
      <c r="J4" s="16"/>
      <c r="K4" s="9"/>
    </row>
    <row r="5" spans="1:30" ht="46.8" x14ac:dyDescent="0.4">
      <c r="A5" s="13" t="s">
        <v>33</v>
      </c>
      <c r="B5" s="19" t="s">
        <v>24</v>
      </c>
      <c r="C5" s="26">
        <f>MAX($B$13-B5)</f>
        <v>27</v>
      </c>
      <c r="D5" s="11">
        <f t="shared" si="0"/>
        <v>29</v>
      </c>
      <c r="E5" s="11">
        <v>29</v>
      </c>
      <c r="F5" s="11">
        <v>1</v>
      </c>
      <c r="G5" s="11">
        <v>7</v>
      </c>
      <c r="H5" s="11">
        <v>31</v>
      </c>
      <c r="I5" s="13" t="s">
        <v>15</v>
      </c>
      <c r="J5" s="16"/>
      <c r="K5" s="9"/>
    </row>
    <row r="6" spans="1:30" ht="46.8" x14ac:dyDescent="0.45">
      <c r="A6" s="8" t="s">
        <v>9</v>
      </c>
      <c r="B6" s="19" t="s">
        <v>35</v>
      </c>
      <c r="C6" s="22">
        <f>MAX(($B$13*2)-B6,0)</f>
        <v>50</v>
      </c>
      <c r="D6" s="11">
        <f t="shared" si="0"/>
        <v>58</v>
      </c>
      <c r="E6" s="11">
        <v>29</v>
      </c>
      <c r="F6" s="11">
        <v>2</v>
      </c>
      <c r="G6" s="11">
        <v>14</v>
      </c>
      <c r="H6" s="11">
        <v>62</v>
      </c>
      <c r="I6" s="8" t="s">
        <v>9</v>
      </c>
      <c r="J6" s="16"/>
      <c r="K6" s="9"/>
    </row>
    <row r="7" spans="1:30" x14ac:dyDescent="0.6">
      <c r="A7" s="4" t="s">
        <v>0</v>
      </c>
      <c r="B7" s="19" t="s">
        <v>24</v>
      </c>
      <c r="C7" s="22">
        <f>$B$13-B7</f>
        <v>27</v>
      </c>
      <c r="D7" s="11">
        <f t="shared" si="0"/>
        <v>29</v>
      </c>
      <c r="E7" s="11">
        <v>29</v>
      </c>
      <c r="F7" s="11">
        <v>1</v>
      </c>
      <c r="G7" s="11">
        <v>7</v>
      </c>
      <c r="H7" s="11">
        <v>31</v>
      </c>
      <c r="I7" s="4" t="s">
        <v>0</v>
      </c>
      <c r="J7" s="16"/>
      <c r="K7" s="9"/>
      <c r="O7" t="s">
        <v>7</v>
      </c>
    </row>
    <row r="8" spans="1:30" ht="46.8" x14ac:dyDescent="0.45">
      <c r="A8" s="8" t="s">
        <v>31</v>
      </c>
      <c r="B8" s="19" t="s">
        <v>22</v>
      </c>
      <c r="C8" s="22">
        <f>MAX(($B$13/7*3)-B8,0)</f>
        <v>11.428571428571431</v>
      </c>
      <c r="D8" s="11">
        <f>ROUND((E8/7)*G8,0)</f>
        <v>12</v>
      </c>
      <c r="E8" s="11">
        <v>29</v>
      </c>
      <c r="F8" s="11"/>
      <c r="G8" s="11">
        <v>3</v>
      </c>
      <c r="H8" s="11">
        <v>12</v>
      </c>
      <c r="I8" s="8" t="s">
        <v>31</v>
      </c>
      <c r="J8" s="16"/>
      <c r="K8" s="9"/>
    </row>
    <row r="9" spans="1:30" ht="31.8" thickBot="1" x14ac:dyDescent="0.65">
      <c r="A9" s="5" t="s">
        <v>14</v>
      </c>
      <c r="B9" s="20" t="s">
        <v>26</v>
      </c>
      <c r="C9" s="23">
        <f>($B$13/2)-B9</f>
        <v>10.5</v>
      </c>
      <c r="D9" s="11">
        <f>E9*F9</f>
        <v>14.5</v>
      </c>
      <c r="E9" s="11">
        <v>29</v>
      </c>
      <c r="F9" s="11">
        <v>0.5</v>
      </c>
      <c r="G9" s="11" t="s">
        <v>10</v>
      </c>
      <c r="H9" s="11" t="s">
        <v>13</v>
      </c>
      <c r="I9" s="5" t="s">
        <v>14</v>
      </c>
      <c r="J9" s="17"/>
      <c r="K9" s="10"/>
    </row>
    <row r="10" spans="1:30" ht="31.8" thickTop="1" x14ac:dyDescent="0.6">
      <c r="A10" s="6"/>
      <c r="I10" s="6"/>
    </row>
    <row r="11" spans="1:30" x14ac:dyDescent="0.6">
      <c r="A11" s="3" t="s">
        <v>5</v>
      </c>
      <c r="B11" s="42">
        <v>44954</v>
      </c>
      <c r="C11" s="42"/>
      <c r="I11" s="3" t="s">
        <v>5</v>
      </c>
      <c r="J11" s="43"/>
      <c r="K11" s="43"/>
      <c r="AD11" s="34"/>
    </row>
    <row r="12" spans="1:30" x14ac:dyDescent="0.6">
      <c r="A12" s="3" t="s">
        <v>37</v>
      </c>
      <c r="B12" s="42">
        <v>44983</v>
      </c>
      <c r="C12" s="42"/>
      <c r="AD12" s="35"/>
    </row>
    <row r="13" spans="1:30" x14ac:dyDescent="0.6">
      <c r="A13" s="3" t="s">
        <v>38</v>
      </c>
      <c r="B13" s="44">
        <f>B12-B11</f>
        <v>29</v>
      </c>
      <c r="C13" s="44"/>
    </row>
    <row r="15" spans="1:30" x14ac:dyDescent="0.6">
      <c r="A15" s="3" t="s">
        <v>45</v>
      </c>
      <c r="B15" s="42">
        <f>DATE(YEAR(B11),MONTH(B11)+1,23)</f>
        <v>44980</v>
      </c>
      <c r="C15" s="42"/>
    </row>
    <row r="16" spans="1:30" x14ac:dyDescent="0.3">
      <c r="A16" s="41">
        <f ca="1">DAY(EOMONTH(B11,0))-DAY(NOW())</f>
        <v>26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1:24" x14ac:dyDescent="0.6">
      <c r="A17" s="3">
        <f ca="1">7-WEEKDAY(NOW(),2)</f>
        <v>5</v>
      </c>
      <c r="B17" s="33">
        <f>DATEDIF(X17,X18,"d")</f>
        <v>30</v>
      </c>
      <c r="X17" s="34">
        <v>44738</v>
      </c>
    </row>
    <row r="18" spans="1:24" x14ac:dyDescent="0.6">
      <c r="B18" s="18">
        <f>B12-B11</f>
        <v>29</v>
      </c>
      <c r="X18" s="34">
        <v>44768</v>
      </c>
    </row>
  </sheetData>
  <mergeCells count="6">
    <mergeCell ref="A16:AA16"/>
    <mergeCell ref="B11:C11"/>
    <mergeCell ref="J11:K11"/>
    <mergeCell ref="B12:C12"/>
    <mergeCell ref="B13:C13"/>
    <mergeCell ref="B15:C15"/>
  </mergeCells>
  <pageMargins left="0.25" right="0.25" top="0.75" bottom="0.75" header="0.3" footer="0.3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B0B8F-D989-475D-AFB5-82AFD7478BBD}">
  <dimension ref="A1:AD28"/>
  <sheetViews>
    <sheetView topLeftCell="A24" zoomScale="184" zoomScaleNormal="184" workbookViewId="0">
      <selection activeCell="A28" sqref="A28:I28"/>
    </sheetView>
  </sheetViews>
  <sheetFormatPr defaultRowHeight="31.2" x14ac:dyDescent="0.6"/>
  <cols>
    <col min="1" max="1" width="45" style="3" bestFit="1" customWidth="1"/>
    <col min="2" max="2" width="9" style="14" bestFit="1" customWidth="1"/>
    <col min="3" max="3" width="8.109375" style="21" bestFit="1" customWidth="1"/>
    <col min="4" max="8" width="7.44140625" style="3" customWidth="1"/>
    <col min="9" max="9" width="45" style="3" customWidth="1"/>
    <col min="10" max="10" width="9.88671875" style="18" customWidth="1"/>
    <col min="11" max="11" width="8.5546875" style="7" customWidth="1"/>
    <col min="12" max="20" width="9.109375" customWidth="1"/>
    <col min="21" max="21" width="10.109375" bestFit="1" customWidth="1"/>
    <col min="23" max="24" width="10.88671875" bestFit="1" customWidth="1"/>
    <col min="29" max="29" width="11.33203125" bestFit="1" customWidth="1"/>
    <col min="30" max="30" width="9.88671875" bestFit="1" customWidth="1"/>
  </cols>
  <sheetData>
    <row r="1" spans="1:30" s="1" customFormat="1" ht="44.4" thickTop="1" thickBot="1" x14ac:dyDescent="0.35">
      <c r="A1" s="27" t="s">
        <v>1</v>
      </c>
      <c r="B1" s="28" t="s">
        <v>2</v>
      </c>
      <c r="C1" s="29" t="s">
        <v>3</v>
      </c>
      <c r="D1" s="12" t="s">
        <v>19</v>
      </c>
      <c r="E1" s="12" t="s">
        <v>18</v>
      </c>
      <c r="F1" s="12" t="s">
        <v>17</v>
      </c>
      <c r="G1" s="12" t="s">
        <v>4</v>
      </c>
      <c r="H1" s="12" t="s">
        <v>12</v>
      </c>
      <c r="I1" s="30" t="s">
        <v>1</v>
      </c>
      <c r="J1" s="31" t="s">
        <v>2</v>
      </c>
      <c r="K1" s="32" t="s">
        <v>3</v>
      </c>
    </row>
    <row r="2" spans="1:30" ht="47.4" thickTop="1" x14ac:dyDescent="0.45">
      <c r="A2" s="24" t="s">
        <v>81</v>
      </c>
      <c r="B2" s="25" t="s">
        <v>32</v>
      </c>
      <c r="C2" s="26">
        <f>MAX(0,ROUND(($B$13*F2)-B2,0))</f>
        <v>41</v>
      </c>
      <c r="D2" s="11">
        <f t="shared" ref="D2:D7" si="0">E2*F2</f>
        <v>46.5</v>
      </c>
      <c r="E2" s="11">
        <f>$B$13</f>
        <v>31</v>
      </c>
      <c r="F2" s="11">
        <v>1.5</v>
      </c>
      <c r="G2" s="11">
        <f>7*F2</f>
        <v>10.5</v>
      </c>
      <c r="H2" s="11">
        <f>31*F2</f>
        <v>46.5</v>
      </c>
      <c r="I2" s="24" t="s">
        <v>16</v>
      </c>
      <c r="J2" s="15"/>
      <c r="K2" s="2"/>
      <c r="L2">
        <v>19</v>
      </c>
      <c r="O2" t="s">
        <v>6</v>
      </c>
    </row>
    <row r="3" spans="1:30" ht="40.799999999999997" x14ac:dyDescent="0.6">
      <c r="A3" s="38" t="s">
        <v>83</v>
      </c>
      <c r="B3" s="19" t="s">
        <v>35</v>
      </c>
      <c r="C3" s="26">
        <f t="shared" ref="C3:C9" si="1">MAX(0,ROUND(($B$13*F3)-B3,0))</f>
        <v>54</v>
      </c>
      <c r="D3" s="11">
        <f t="shared" si="0"/>
        <v>62</v>
      </c>
      <c r="E3" s="11">
        <f t="shared" ref="E3:E9" si="2">$B$13</f>
        <v>31</v>
      </c>
      <c r="F3" s="11">
        <v>2</v>
      </c>
      <c r="G3" s="11">
        <f t="shared" ref="G3:G9" si="3">7*F3</f>
        <v>14</v>
      </c>
      <c r="H3" s="11">
        <f t="shared" ref="H3:H9" si="4">31*F3</f>
        <v>62</v>
      </c>
      <c r="I3" s="4" t="s">
        <v>30</v>
      </c>
      <c r="J3" s="16"/>
      <c r="K3" s="9"/>
      <c r="O3" t="s">
        <v>8</v>
      </c>
    </row>
    <row r="4" spans="1:30" ht="48.6" x14ac:dyDescent="0.6">
      <c r="A4" s="8" t="s">
        <v>56</v>
      </c>
      <c r="B4" s="19" t="s">
        <v>121</v>
      </c>
      <c r="C4" s="26">
        <f t="shared" si="1"/>
        <v>0</v>
      </c>
      <c r="D4" s="11">
        <f t="shared" si="0"/>
        <v>15.5</v>
      </c>
      <c r="E4" s="11">
        <f t="shared" si="2"/>
        <v>31</v>
      </c>
      <c r="F4" s="11">
        <v>0.5</v>
      </c>
      <c r="G4" s="11">
        <f t="shared" si="3"/>
        <v>3.5</v>
      </c>
      <c r="H4" s="11">
        <f t="shared" si="4"/>
        <v>15.5</v>
      </c>
      <c r="I4" s="4" t="s">
        <v>29</v>
      </c>
      <c r="J4" s="16"/>
      <c r="K4" s="9"/>
    </row>
    <row r="5" spans="1:30" ht="46.8" x14ac:dyDescent="0.4">
      <c r="A5" s="13" t="s">
        <v>33</v>
      </c>
      <c r="B5" s="19" t="s">
        <v>20</v>
      </c>
      <c r="C5" s="26">
        <f t="shared" si="1"/>
        <v>31</v>
      </c>
      <c r="D5" s="11">
        <f t="shared" si="0"/>
        <v>31</v>
      </c>
      <c r="E5" s="11">
        <f t="shared" si="2"/>
        <v>31</v>
      </c>
      <c r="F5" s="11">
        <v>1</v>
      </c>
      <c r="G5" s="11">
        <f t="shared" si="3"/>
        <v>7</v>
      </c>
      <c r="H5" s="11">
        <f t="shared" si="4"/>
        <v>31</v>
      </c>
      <c r="I5" s="13" t="s">
        <v>15</v>
      </c>
      <c r="J5" s="16"/>
      <c r="K5" s="9"/>
    </row>
    <row r="6" spans="1:30" ht="46.8" x14ac:dyDescent="0.45">
      <c r="A6" s="8" t="s">
        <v>94</v>
      </c>
      <c r="B6" s="19" t="s">
        <v>35</v>
      </c>
      <c r="C6" s="26">
        <f t="shared" si="1"/>
        <v>23</v>
      </c>
      <c r="D6" s="11">
        <f t="shared" si="0"/>
        <v>31</v>
      </c>
      <c r="E6" s="11">
        <f t="shared" si="2"/>
        <v>31</v>
      </c>
      <c r="F6" s="11">
        <v>1</v>
      </c>
      <c r="G6" s="11">
        <f t="shared" si="3"/>
        <v>7</v>
      </c>
      <c r="H6" s="11">
        <f t="shared" si="4"/>
        <v>31</v>
      </c>
      <c r="I6" s="8" t="s">
        <v>9</v>
      </c>
      <c r="J6" s="16"/>
      <c r="K6" s="9"/>
    </row>
    <row r="7" spans="1:30" x14ac:dyDescent="0.6">
      <c r="A7" s="4" t="s">
        <v>0</v>
      </c>
      <c r="B7" s="19" t="s">
        <v>21</v>
      </c>
      <c r="C7" s="26">
        <f t="shared" si="1"/>
        <v>28</v>
      </c>
      <c r="D7" s="11">
        <f t="shared" si="0"/>
        <v>31</v>
      </c>
      <c r="E7" s="11">
        <f t="shared" si="2"/>
        <v>31</v>
      </c>
      <c r="F7" s="11">
        <v>1</v>
      </c>
      <c r="G7" s="11">
        <f t="shared" si="3"/>
        <v>7</v>
      </c>
      <c r="H7" s="11">
        <f t="shared" si="4"/>
        <v>31</v>
      </c>
      <c r="I7" s="4" t="s">
        <v>0</v>
      </c>
      <c r="J7" s="16"/>
      <c r="K7" s="9"/>
      <c r="O7" t="s">
        <v>7</v>
      </c>
    </row>
    <row r="8" spans="1:30" ht="46.8" x14ac:dyDescent="0.45">
      <c r="A8" s="8" t="s">
        <v>100</v>
      </c>
      <c r="B8" s="19" t="s">
        <v>80</v>
      </c>
      <c r="C8" s="26">
        <f t="shared" si="1"/>
        <v>12</v>
      </c>
      <c r="D8" s="11">
        <f>ROUND((E8/7)*G8,0)</f>
        <v>31</v>
      </c>
      <c r="E8" s="11">
        <f t="shared" si="2"/>
        <v>31</v>
      </c>
      <c r="F8" s="11">
        <v>1</v>
      </c>
      <c r="G8" s="11">
        <f t="shared" si="3"/>
        <v>7</v>
      </c>
      <c r="H8" s="11">
        <f t="shared" si="4"/>
        <v>31</v>
      </c>
      <c r="I8" s="8" t="s">
        <v>31</v>
      </c>
      <c r="J8" s="16"/>
      <c r="K8" s="9"/>
    </row>
    <row r="9" spans="1:30" ht="31.8" thickBot="1" x14ac:dyDescent="0.65">
      <c r="A9" s="5" t="s">
        <v>14</v>
      </c>
      <c r="B9" s="20" t="s">
        <v>23</v>
      </c>
      <c r="C9" s="26">
        <f t="shared" si="1"/>
        <v>14</v>
      </c>
      <c r="D9" s="11">
        <f>E9*F9</f>
        <v>15.5</v>
      </c>
      <c r="E9" s="11">
        <f t="shared" si="2"/>
        <v>31</v>
      </c>
      <c r="F9" s="11">
        <v>0.5</v>
      </c>
      <c r="G9" s="11">
        <f t="shared" si="3"/>
        <v>3.5</v>
      </c>
      <c r="H9" s="11">
        <f t="shared" si="4"/>
        <v>15.5</v>
      </c>
      <c r="I9" s="5" t="s">
        <v>14</v>
      </c>
      <c r="J9" s="17"/>
      <c r="K9" s="10"/>
    </row>
    <row r="10" spans="1:30" ht="31.8" thickTop="1" x14ac:dyDescent="0.6">
      <c r="A10" s="6"/>
      <c r="I10" s="6"/>
    </row>
    <row r="11" spans="1:30" x14ac:dyDescent="0.6">
      <c r="A11" s="3" t="s">
        <v>5</v>
      </c>
      <c r="B11" s="42">
        <v>45162</v>
      </c>
      <c r="C11" s="42"/>
      <c r="I11" s="3" t="s">
        <v>5</v>
      </c>
      <c r="J11" s="43"/>
      <c r="K11" s="43"/>
      <c r="AD11" s="34"/>
    </row>
    <row r="12" spans="1:30" x14ac:dyDescent="0.6">
      <c r="A12" s="3" t="s">
        <v>37</v>
      </c>
      <c r="B12" s="46">
        <f>B15+(6-WEEKDAY(B15,3))</f>
        <v>45193</v>
      </c>
      <c r="C12" s="46"/>
      <c r="D12" s="40">
        <f>B12</f>
        <v>45193</v>
      </c>
      <c r="AD12" s="35"/>
    </row>
    <row r="13" spans="1:30" x14ac:dyDescent="0.6">
      <c r="A13" s="3" t="s">
        <v>38</v>
      </c>
      <c r="B13" s="44">
        <f>B12-B11</f>
        <v>31</v>
      </c>
      <c r="C13" s="44"/>
    </row>
    <row r="15" spans="1:30" x14ac:dyDescent="0.6">
      <c r="A15" s="3" t="s">
        <v>45</v>
      </c>
      <c r="B15" s="42">
        <f>DATE(YEAR(B11),MONTH(B11)+1,23)</f>
        <v>45192</v>
      </c>
      <c r="C15" s="42"/>
      <c r="U15" s="34"/>
      <c r="X15" s="39"/>
    </row>
    <row r="16" spans="1:30" x14ac:dyDescent="0.3">
      <c r="A16" s="41">
        <f ca="1">DAY(EOMONTH(B11,0))-DAY(NOW())</f>
        <v>26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1:24" x14ac:dyDescent="0.6">
      <c r="A17" s="3">
        <f ca="1">7-WEEKDAY(NOW(),2)</f>
        <v>5</v>
      </c>
      <c r="B17" s="33">
        <f>DATEDIF(X17,X18,"d")</f>
        <v>30</v>
      </c>
      <c r="X17" s="34">
        <v>44738</v>
      </c>
    </row>
    <row r="18" spans="1:24" x14ac:dyDescent="0.6">
      <c r="B18" s="18">
        <f>B12-B11</f>
        <v>31</v>
      </c>
      <c r="X18" s="34">
        <v>44768</v>
      </c>
    </row>
    <row r="20" spans="1:24" x14ac:dyDescent="0.6">
      <c r="A20" t="str">
        <f>ROUND(C2,0)&amp;" pcs. "&amp;SUBSTITUTE(A2,CHAR(10),"")&amp;", "</f>
        <v xml:space="preserve">41 pcs. Gliclazide MR 60mg (D) (Zeltine MR/Melandy-MR), </v>
      </c>
    </row>
    <row r="21" spans="1:24" x14ac:dyDescent="0.6">
      <c r="A21" t="str">
        <f t="shared" ref="A21:A27" si="5">A20&amp;CHAR(10)&amp;ROUND(C3,0)&amp;" pcs. "&amp;SUBSTITUTE(A3,CHAR(10),"")&amp;", "</f>
        <v xml:space="preserve">41 pcs. Gliclazide MR 60mg (D) (Zeltine MR/Melandy-MR), 
54 pcs. Carvedilol (H) 25mg/tab (BetaCard, Cardipres), </v>
      </c>
    </row>
    <row r="22" spans="1:24" x14ac:dyDescent="0.6">
      <c r="A22" t="str">
        <f t="shared" si="5"/>
        <v xml:space="preserve">41 pcs. Gliclazide MR 60mg (D) (Zeltine MR/Melandy-MR), 
54 pcs. Carvedilol (H) 25mg/tab (BetaCard, Cardipres), 
0 pcs. Subutril-Valsartan(V) 200mgVymada, </v>
      </c>
    </row>
    <row r="23" spans="1:24" x14ac:dyDescent="0.6">
      <c r="A23" t="str">
        <f t="shared" si="5"/>
        <v xml:space="preserve">41 pcs. Gliclazide MR 60mg (D) (Zeltine MR/Melandy-MR), 
54 pcs. Carvedilol (H) 25mg/tab (BetaCard, Cardipres), 
0 pcs. Subutril-Valsartan(V) 200mgVymada, 
31 pcs. Empagliflozin Linagliptin 25mg/10mg(D)(25mg/5mg(D)), </v>
      </c>
    </row>
    <row r="24" spans="1:24" x14ac:dyDescent="0.6">
      <c r="A24" t="str">
        <f t="shared" si="5"/>
        <v xml:space="preserve">41 pcs. Gliclazide MR 60mg (D) (Zeltine MR/Melandy-MR), 
54 pcs. Carvedilol (H) 25mg/tab (BetaCard, Cardipres), 
0 pcs. Subutril-Valsartan(V) 200mgVymada, 
31 pcs. Empagliflozin Linagliptin 25mg/10mg(D)(25mg/5mg(D)), 
23 pcs. Metformin Hydrochloride 1000mg (Proglutrol), </v>
      </c>
    </row>
    <row r="25" spans="1:24" x14ac:dyDescent="0.6">
      <c r="A25" t="str">
        <f t="shared" si="5"/>
        <v xml:space="preserve">41 pcs. Gliclazide MR 60mg (D) (Zeltine MR/Melandy-MR), 
54 pcs. Carvedilol (H) 25mg/tab (BetaCard, Cardipres), 
0 pcs. Subutril-Valsartan(V) 200mgVymada, 
31 pcs. Empagliflozin Linagliptin 25mg/10mg(D)(25mg/5mg(D)), 
23 pcs. Metformin Hydrochloride 1000mg (Proglutrol), 
28 pcs. Aspirin 80mg, </v>
      </c>
    </row>
    <row r="26" spans="1:24" x14ac:dyDescent="0.6">
      <c r="A26" t="str">
        <f t="shared" si="5"/>
        <v xml:space="preserve">41 pcs. Gliclazide MR 60mg (D) (Zeltine MR/Melandy-MR), 
54 pcs. Carvedilol (H) 25mg/tab (BetaCard, Cardipres), 
0 pcs. Subutril-Valsartan(V) 200mgVymada, 
31 pcs. Empagliflozin Linagliptin 25mg/10mg(D)(25mg/5mg(D)), 
23 pcs. Metformin Hydrochloride 1000mg (Proglutrol), 
28 pcs. Aspirin 80mg, 
12 pcs. Rosuvastatin (Rovista/Rosewin) 5mg, </v>
      </c>
    </row>
    <row r="27" spans="1:24" ht="123" customHeight="1" x14ac:dyDescent="0.3">
      <c r="A27" s="45" t="str">
        <f t="shared" si="5"/>
        <v xml:space="preserve">41 pcs. Gliclazide MR 60mg (D) (Zeltine MR/Melandy-MR), 
54 pcs. Carvedilol (H) 25mg/tab (BetaCard, Cardipres), 
0 pcs. Subutril-Valsartan(V) 200mgVymada, 
31 pcs. Empagliflozin Linagliptin 25mg/10mg(D)(25mg/5mg(D)), 
23 pcs. Metformin Hydrochloride 1000mg (Proglutrol), 
28 pcs. Aspirin 80mg, 
12 pcs. Rosuvastatin (Rovista/Rosewin) 5mg, 
14 pcs. Spironolactone ½ 50mg (W), </v>
      </c>
      <c r="B27" s="45"/>
      <c r="C27" s="45"/>
      <c r="D27" s="45"/>
      <c r="E27" s="45"/>
      <c r="F27" s="45"/>
      <c r="G27" s="45"/>
      <c r="H27" s="45"/>
      <c r="I27" s="45"/>
    </row>
    <row r="28" spans="1:24" ht="111" customHeight="1" x14ac:dyDescent="0.3">
      <c r="A28" s="47" t="s">
        <v>122</v>
      </c>
      <c r="B28" s="47"/>
      <c r="C28" s="47"/>
      <c r="D28" s="47"/>
      <c r="E28" s="47"/>
      <c r="F28" s="47"/>
      <c r="G28" s="47"/>
      <c r="H28" s="47"/>
      <c r="I28" s="47"/>
    </row>
  </sheetData>
  <mergeCells count="8">
    <mergeCell ref="A27:I27"/>
    <mergeCell ref="A28:I28"/>
    <mergeCell ref="B11:C11"/>
    <mergeCell ref="J11:K11"/>
    <mergeCell ref="B12:C12"/>
    <mergeCell ref="B13:C13"/>
    <mergeCell ref="B15:C15"/>
    <mergeCell ref="A16:AA16"/>
  </mergeCells>
  <pageMargins left="0.25" right="0.25" top="0.75" bottom="0.75" header="0.3" footer="0.3"/>
  <pageSetup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D97E9-EE5A-48CB-8B86-4B1A96F4A3CD}">
  <dimension ref="A1:AD28"/>
  <sheetViews>
    <sheetView tabSelected="1" topLeftCell="A5" zoomScale="184" zoomScaleNormal="184" workbookViewId="0">
      <selection activeCell="A9" sqref="A9"/>
    </sheetView>
  </sheetViews>
  <sheetFormatPr defaultRowHeight="31.2" x14ac:dyDescent="0.6"/>
  <cols>
    <col min="1" max="1" width="45" style="3" bestFit="1" customWidth="1"/>
    <col min="2" max="2" width="9" style="14" bestFit="1" customWidth="1"/>
    <col min="3" max="3" width="8.109375" style="21" bestFit="1" customWidth="1"/>
    <col min="4" max="8" width="7.44140625" style="3" customWidth="1"/>
    <col min="9" max="9" width="45" style="3" customWidth="1"/>
    <col min="10" max="10" width="9.88671875" style="18" customWidth="1"/>
    <col min="11" max="11" width="8.5546875" style="7" customWidth="1"/>
    <col min="12" max="20" width="9.109375" customWidth="1"/>
    <col min="21" max="21" width="10.109375" bestFit="1" customWidth="1"/>
    <col min="23" max="24" width="10.88671875" bestFit="1" customWidth="1"/>
    <col min="29" max="29" width="11.33203125" bestFit="1" customWidth="1"/>
    <col min="30" max="30" width="9.88671875" bestFit="1" customWidth="1"/>
  </cols>
  <sheetData>
    <row r="1" spans="1:30" s="1" customFormat="1" ht="44.4" thickTop="1" thickBot="1" x14ac:dyDescent="0.35">
      <c r="A1" s="27" t="s">
        <v>1</v>
      </c>
      <c r="B1" s="28" t="s">
        <v>2</v>
      </c>
      <c r="C1" s="29" t="s">
        <v>3</v>
      </c>
      <c r="D1" s="12" t="s">
        <v>19</v>
      </c>
      <c r="E1" s="12" t="s">
        <v>18</v>
      </c>
      <c r="F1" s="12" t="s">
        <v>17</v>
      </c>
      <c r="G1" s="12" t="s">
        <v>4</v>
      </c>
      <c r="H1" s="12" t="s">
        <v>12</v>
      </c>
      <c r="I1" s="30" t="s">
        <v>1</v>
      </c>
      <c r="J1" s="31" t="s">
        <v>2</v>
      </c>
      <c r="K1" s="32" t="s">
        <v>3</v>
      </c>
    </row>
    <row r="2" spans="1:30" ht="47.4" thickTop="1" x14ac:dyDescent="0.45">
      <c r="A2" s="24" t="s">
        <v>81</v>
      </c>
      <c r="B2" s="25" t="s">
        <v>22</v>
      </c>
      <c r="C2" s="26">
        <f>MAX(0,ROUND(($B$13*F2)-B2,0))</f>
        <v>45</v>
      </c>
      <c r="D2" s="11">
        <f t="shared" ref="D2:D7" si="0">E2*F2</f>
        <v>46</v>
      </c>
      <c r="E2" s="11">
        <f>$B$13</f>
        <v>23</v>
      </c>
      <c r="F2" s="11">
        <v>2</v>
      </c>
      <c r="G2" s="11">
        <f>7*F2</f>
        <v>14</v>
      </c>
      <c r="H2" s="11">
        <f>31*F2</f>
        <v>62</v>
      </c>
      <c r="I2" s="24" t="s">
        <v>16</v>
      </c>
      <c r="J2" s="15"/>
      <c r="K2" s="2"/>
      <c r="L2">
        <v>19</v>
      </c>
      <c r="O2" t="s">
        <v>6</v>
      </c>
    </row>
    <row r="3" spans="1:30" ht="40.799999999999997" x14ac:dyDescent="0.6">
      <c r="A3" s="38" t="s">
        <v>83</v>
      </c>
      <c r="B3" s="19" t="s">
        <v>79</v>
      </c>
      <c r="C3" s="26">
        <f t="shared" ref="C3:C9" si="1">MAX(0,ROUND(($B$13*F3)-B3,0))</f>
        <v>34</v>
      </c>
      <c r="D3" s="11">
        <f t="shared" si="0"/>
        <v>46</v>
      </c>
      <c r="E3" s="11">
        <f t="shared" ref="E3:E9" si="2">$B$13</f>
        <v>23</v>
      </c>
      <c r="F3" s="11">
        <v>2</v>
      </c>
      <c r="G3" s="11">
        <f t="shared" ref="G3:G9" si="3">7*F3</f>
        <v>14</v>
      </c>
      <c r="H3" s="11">
        <f t="shared" ref="H3:H9" si="4">31*F3</f>
        <v>62</v>
      </c>
      <c r="I3" s="4" t="s">
        <v>30</v>
      </c>
      <c r="J3" s="16"/>
      <c r="K3" s="9"/>
      <c r="O3" t="s">
        <v>8</v>
      </c>
    </row>
    <row r="4" spans="1:30" ht="48.6" x14ac:dyDescent="0.6">
      <c r="A4" s="8" t="s">
        <v>56</v>
      </c>
      <c r="B4" s="19" t="s">
        <v>79</v>
      </c>
      <c r="C4" s="26">
        <f t="shared" si="1"/>
        <v>0</v>
      </c>
      <c r="D4" s="11">
        <f t="shared" si="0"/>
        <v>11.5</v>
      </c>
      <c r="E4" s="11">
        <f t="shared" si="2"/>
        <v>23</v>
      </c>
      <c r="F4" s="11">
        <v>0.5</v>
      </c>
      <c r="G4" s="11">
        <f t="shared" si="3"/>
        <v>3.5</v>
      </c>
      <c r="H4" s="11">
        <f t="shared" si="4"/>
        <v>15.5</v>
      </c>
      <c r="I4" s="4" t="s">
        <v>29</v>
      </c>
      <c r="J4" s="16"/>
      <c r="K4" s="9"/>
    </row>
    <row r="5" spans="1:30" ht="46.8" x14ac:dyDescent="0.4">
      <c r="A5" s="13" t="s">
        <v>33</v>
      </c>
      <c r="B5" s="19" t="s">
        <v>20</v>
      </c>
      <c r="C5" s="26">
        <f t="shared" si="1"/>
        <v>23</v>
      </c>
      <c r="D5" s="11">
        <f t="shared" si="0"/>
        <v>23</v>
      </c>
      <c r="E5" s="11">
        <f t="shared" si="2"/>
        <v>23</v>
      </c>
      <c r="F5" s="11">
        <v>1</v>
      </c>
      <c r="G5" s="11">
        <f t="shared" si="3"/>
        <v>7</v>
      </c>
      <c r="H5" s="11">
        <f t="shared" si="4"/>
        <v>31</v>
      </c>
      <c r="I5" s="13" t="s">
        <v>15</v>
      </c>
      <c r="J5" s="16"/>
      <c r="K5" s="9"/>
    </row>
    <row r="6" spans="1:30" ht="46.8" x14ac:dyDescent="0.45">
      <c r="A6" s="8" t="s">
        <v>124</v>
      </c>
      <c r="B6" s="19" t="s">
        <v>20</v>
      </c>
      <c r="C6" s="26">
        <f t="shared" si="1"/>
        <v>69</v>
      </c>
      <c r="D6" s="11">
        <f t="shared" si="0"/>
        <v>69</v>
      </c>
      <c r="E6" s="11">
        <f t="shared" si="2"/>
        <v>23</v>
      </c>
      <c r="F6" s="11">
        <v>3</v>
      </c>
      <c r="G6" s="11">
        <f t="shared" si="3"/>
        <v>21</v>
      </c>
      <c r="H6" s="11">
        <f t="shared" si="4"/>
        <v>93</v>
      </c>
      <c r="I6" s="8" t="s">
        <v>9</v>
      </c>
      <c r="J6" s="16"/>
      <c r="K6" s="9"/>
    </row>
    <row r="7" spans="1:30" x14ac:dyDescent="0.6">
      <c r="A7" s="4" t="s">
        <v>0</v>
      </c>
      <c r="B7" s="19" t="s">
        <v>21</v>
      </c>
      <c r="C7" s="26">
        <f t="shared" si="1"/>
        <v>20</v>
      </c>
      <c r="D7" s="11">
        <f t="shared" si="0"/>
        <v>23</v>
      </c>
      <c r="E7" s="11">
        <f t="shared" si="2"/>
        <v>23</v>
      </c>
      <c r="F7" s="11">
        <v>1</v>
      </c>
      <c r="G7" s="11">
        <f t="shared" si="3"/>
        <v>7</v>
      </c>
      <c r="H7" s="11">
        <f t="shared" si="4"/>
        <v>31</v>
      </c>
      <c r="I7" s="4" t="s">
        <v>0</v>
      </c>
      <c r="J7" s="16"/>
      <c r="K7" s="9"/>
      <c r="O7" t="s">
        <v>7</v>
      </c>
    </row>
    <row r="8" spans="1:30" ht="46.8" x14ac:dyDescent="0.45">
      <c r="A8" s="8" t="s">
        <v>123</v>
      </c>
      <c r="B8" s="19" t="s">
        <v>32</v>
      </c>
      <c r="C8" s="26">
        <f t="shared" si="1"/>
        <v>18</v>
      </c>
      <c r="D8" s="11">
        <f>ROUND((E8/7)*G8,0)</f>
        <v>23</v>
      </c>
      <c r="E8" s="11">
        <f t="shared" si="2"/>
        <v>23</v>
      </c>
      <c r="F8" s="11">
        <v>1</v>
      </c>
      <c r="G8" s="11">
        <f t="shared" si="3"/>
        <v>7</v>
      </c>
      <c r="H8" s="11">
        <f t="shared" si="4"/>
        <v>31</v>
      </c>
      <c r="I8" s="8" t="s">
        <v>31</v>
      </c>
      <c r="J8" s="16"/>
      <c r="K8" s="9"/>
    </row>
    <row r="9" spans="1:30" ht="31.8" thickBot="1" x14ac:dyDescent="0.65">
      <c r="A9" s="5" t="s">
        <v>14</v>
      </c>
      <c r="B9" s="20" t="s">
        <v>24</v>
      </c>
      <c r="C9" s="26">
        <f t="shared" si="1"/>
        <v>10</v>
      </c>
      <c r="D9" s="11">
        <f>E9*F9</f>
        <v>11.5</v>
      </c>
      <c r="E9" s="11">
        <f t="shared" si="2"/>
        <v>23</v>
      </c>
      <c r="F9" s="11">
        <v>0.5</v>
      </c>
      <c r="G9" s="11">
        <f t="shared" si="3"/>
        <v>3.5</v>
      </c>
      <c r="H9" s="11">
        <f t="shared" si="4"/>
        <v>15.5</v>
      </c>
      <c r="I9" s="5" t="s">
        <v>14</v>
      </c>
      <c r="J9" s="17"/>
      <c r="K9" s="10"/>
    </row>
    <row r="10" spans="1:30" ht="31.8" thickTop="1" x14ac:dyDescent="0.6">
      <c r="A10" s="6"/>
      <c r="I10" s="6"/>
    </row>
    <row r="11" spans="1:30" x14ac:dyDescent="0.6">
      <c r="A11" s="3" t="s">
        <v>5</v>
      </c>
      <c r="B11" s="42">
        <v>45170</v>
      </c>
      <c r="C11" s="42"/>
      <c r="I11" s="3" t="s">
        <v>5</v>
      </c>
      <c r="J11" s="43"/>
      <c r="K11" s="43"/>
      <c r="AD11" s="34"/>
    </row>
    <row r="12" spans="1:30" x14ac:dyDescent="0.6">
      <c r="A12" s="3" t="s">
        <v>37</v>
      </c>
      <c r="B12" s="46">
        <f>B15+(6-WEEKDAY(B15,3))</f>
        <v>45193</v>
      </c>
      <c r="C12" s="46"/>
      <c r="D12" s="40">
        <f>B12</f>
        <v>45193</v>
      </c>
      <c r="AD12" s="35"/>
    </row>
    <row r="13" spans="1:30" x14ac:dyDescent="0.6">
      <c r="A13" s="3" t="s">
        <v>38</v>
      </c>
      <c r="B13" s="44">
        <f>B12-B11</f>
        <v>23</v>
      </c>
      <c r="C13" s="44"/>
    </row>
    <row r="15" spans="1:30" x14ac:dyDescent="0.6">
      <c r="A15" s="3" t="s">
        <v>45</v>
      </c>
      <c r="B15" s="42">
        <v>45192</v>
      </c>
      <c r="C15" s="42"/>
      <c r="U15" s="34"/>
      <c r="X15" s="39"/>
    </row>
    <row r="16" spans="1:30" x14ac:dyDescent="0.3">
      <c r="A16" s="41">
        <f ca="1">DAY(EOMONTH(B11,0))-DAY(NOW())</f>
        <v>25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1:24" x14ac:dyDescent="0.6">
      <c r="A17" s="3">
        <f ca="1">7-WEEKDAY(NOW(),2)</f>
        <v>5</v>
      </c>
      <c r="B17" s="33">
        <f>DATEDIF(X17,X18,"d")</f>
        <v>30</v>
      </c>
      <c r="X17" s="34">
        <v>44738</v>
      </c>
    </row>
    <row r="18" spans="1:24" x14ac:dyDescent="0.6">
      <c r="B18" s="18">
        <f>B12-B11</f>
        <v>23</v>
      </c>
      <c r="X18" s="34">
        <v>44768</v>
      </c>
    </row>
    <row r="20" spans="1:24" x14ac:dyDescent="0.6">
      <c r="A20" t="str">
        <f>ROUND(C2,0)&amp;" pcs. "&amp;SUBSTITUTE(A2,CHAR(10),"")&amp;", "</f>
        <v xml:space="preserve">45 pcs. Gliclazide MR 60mg (D) (Zeltine MR/Melandy-MR), </v>
      </c>
    </row>
    <row r="21" spans="1:24" x14ac:dyDescent="0.6">
      <c r="A21" t="str">
        <f t="shared" ref="A21:A27" si="5">A20&amp;CHAR(10)&amp;ROUND(C3,0)&amp;" pcs. "&amp;SUBSTITUTE(A3,CHAR(10),"")&amp;", "</f>
        <v xml:space="preserve">45 pcs. Gliclazide MR 60mg (D) (Zeltine MR/Melandy-MR), 
34 pcs. Carvedilol (H) 25mg/tab (BetaCard, Cardipres), </v>
      </c>
    </row>
    <row r="22" spans="1:24" x14ac:dyDescent="0.6">
      <c r="A22" t="str">
        <f t="shared" si="5"/>
        <v xml:space="preserve">45 pcs. Gliclazide MR 60mg (D) (Zeltine MR/Melandy-MR), 
34 pcs. Carvedilol (H) 25mg/tab (BetaCard, Cardipres), 
0 pcs. Subutril-Valsartan(V) 200mgVymada, </v>
      </c>
    </row>
    <row r="23" spans="1:24" x14ac:dyDescent="0.6">
      <c r="A23" t="str">
        <f t="shared" si="5"/>
        <v xml:space="preserve">45 pcs. Gliclazide MR 60mg (D) (Zeltine MR/Melandy-MR), 
34 pcs. Carvedilol (H) 25mg/tab (BetaCard, Cardipres), 
0 pcs. Subutril-Valsartan(V) 200mgVymada, 
23 pcs. Empagliflozin Linagliptin 25mg/10mg(D)(25mg/5mg(D)), </v>
      </c>
    </row>
    <row r="24" spans="1:24" x14ac:dyDescent="0.6">
      <c r="A24" t="str">
        <f t="shared" si="5"/>
        <v xml:space="preserve">45 pcs. Gliclazide MR 60mg (D) (Zeltine MR/Melandy-MR), 
34 pcs. Carvedilol (H) 25mg/tab (BetaCard, Cardipres), 
0 pcs. Subutril-Valsartan(V) 200mgVymada, 
23 pcs. Empagliflozin Linagliptin 25mg/10mg(D)(25mg/5mg(D)), 
69 pcs. Metformin Hydrochloride 500mg (Proglutrol), </v>
      </c>
    </row>
    <row r="25" spans="1:24" x14ac:dyDescent="0.6">
      <c r="A25" t="str">
        <f t="shared" si="5"/>
        <v xml:space="preserve">45 pcs. Gliclazide MR 60mg (D) (Zeltine MR/Melandy-MR), 
34 pcs. Carvedilol (H) 25mg/tab (BetaCard, Cardipres), 
0 pcs. Subutril-Valsartan(V) 200mgVymada, 
23 pcs. Empagliflozin Linagliptin 25mg/10mg(D)(25mg/5mg(D)), 
69 pcs. Metformin Hydrochloride 500mg (Proglutrol), 
20 pcs. Aspirin 80mg, </v>
      </c>
    </row>
    <row r="26" spans="1:24" x14ac:dyDescent="0.6">
      <c r="A26" t="str">
        <f t="shared" si="5"/>
        <v xml:space="preserve">45 pcs. Gliclazide MR 60mg (D) (Zeltine MR/Melandy-MR), 
34 pcs. Carvedilol (H) 25mg/tab (BetaCard, Cardipres), 
0 pcs. Subutril-Valsartan(V) 200mgVymada, 
23 pcs. Empagliflozin Linagliptin 25mg/10mg(D)(25mg/5mg(D)), 
69 pcs. Metformin Hydrochloride 500mg (Proglutrol), 
20 pcs. Aspirin 80mg, 
18 pcs. Rosuvastatin (Rovista/Rosewin) 10mg, </v>
      </c>
    </row>
    <row r="27" spans="1:24" ht="123" customHeight="1" x14ac:dyDescent="0.3">
      <c r="A27" s="45" t="str">
        <f t="shared" si="5"/>
        <v xml:space="preserve">45 pcs. Gliclazide MR 60mg (D) (Zeltine MR/Melandy-MR), 
34 pcs. Carvedilol (H) 25mg/tab (BetaCard, Cardipres), 
0 pcs. Subutril-Valsartan(V) 200mgVymada, 
23 pcs. Empagliflozin Linagliptin 25mg/10mg(D)(25mg/5mg(D)), 
69 pcs. Metformin Hydrochloride 500mg (Proglutrol), 
20 pcs. Aspirin 80mg, 
18 pcs. Rosuvastatin (Rovista/Rosewin) 10mg, 
10 pcs. Spironolactone ½ 50mg (W), </v>
      </c>
      <c r="B27" s="45"/>
      <c r="C27" s="45"/>
      <c r="D27" s="45"/>
      <c r="E27" s="45"/>
      <c r="F27" s="45"/>
      <c r="G27" s="45"/>
      <c r="H27" s="45"/>
      <c r="I27" s="45"/>
    </row>
    <row r="28" spans="1:24" ht="111" customHeight="1" x14ac:dyDescent="0.3">
      <c r="A28" s="47" t="s">
        <v>125</v>
      </c>
      <c r="B28" s="47"/>
      <c r="C28" s="47"/>
      <c r="D28" s="47"/>
      <c r="E28" s="47"/>
      <c r="F28" s="47"/>
      <c r="G28" s="47"/>
      <c r="H28" s="47"/>
      <c r="I28" s="47"/>
    </row>
  </sheetData>
  <mergeCells count="8">
    <mergeCell ref="A27:I27"/>
    <mergeCell ref="A28:I28"/>
    <mergeCell ref="B11:C11"/>
    <mergeCell ref="J11:K11"/>
    <mergeCell ref="B12:C12"/>
    <mergeCell ref="B13:C13"/>
    <mergeCell ref="B15:C15"/>
    <mergeCell ref="A16:AA16"/>
  </mergeCells>
  <pageMargins left="0.25" right="0.25" top="0.75" bottom="0.75" header="0.3" footer="0.3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58513-C787-4968-9F19-122A0BBC9E2C}">
  <dimension ref="A1:D8"/>
  <sheetViews>
    <sheetView workbookViewId="0">
      <selection activeCell="B4" sqref="B4"/>
    </sheetView>
  </sheetViews>
  <sheetFormatPr defaultRowHeight="14.4" x14ac:dyDescent="0.3"/>
  <cols>
    <col min="2" max="2" width="23.5546875" bestFit="1" customWidth="1"/>
    <col min="3" max="3" width="59" bestFit="1" customWidth="1"/>
    <col min="4" max="4" width="53.6640625" bestFit="1" customWidth="1"/>
  </cols>
  <sheetData>
    <row r="1" spans="1:4" x14ac:dyDescent="0.3">
      <c r="A1" t="s">
        <v>119</v>
      </c>
      <c r="B1" t="s">
        <v>102</v>
      </c>
      <c r="C1" t="s">
        <v>110</v>
      </c>
    </row>
    <row r="2" spans="1:4" x14ac:dyDescent="0.3">
      <c r="A2" t="s">
        <v>120</v>
      </c>
      <c r="B2" t="s">
        <v>103</v>
      </c>
      <c r="C2" t="s">
        <v>109</v>
      </c>
    </row>
    <row r="3" spans="1:4" x14ac:dyDescent="0.3">
      <c r="A3" t="s">
        <v>120</v>
      </c>
      <c r="B3" t="s">
        <v>104</v>
      </c>
      <c r="C3" t="s">
        <v>107</v>
      </c>
      <c r="D3" t="s">
        <v>108</v>
      </c>
    </row>
    <row r="4" spans="1:4" x14ac:dyDescent="0.3">
      <c r="A4" t="s">
        <v>119</v>
      </c>
      <c r="B4" t="s">
        <v>105</v>
      </c>
      <c r="C4" t="s">
        <v>106</v>
      </c>
    </row>
    <row r="5" spans="1:4" x14ac:dyDescent="0.3">
      <c r="A5" t="s">
        <v>119</v>
      </c>
      <c r="B5" t="s">
        <v>112</v>
      </c>
      <c r="C5" t="s">
        <v>111</v>
      </c>
    </row>
    <row r="6" spans="1:4" ht="57.6" x14ac:dyDescent="0.3">
      <c r="A6" t="s">
        <v>120</v>
      </c>
      <c r="B6" t="s">
        <v>113</v>
      </c>
      <c r="C6" s="37" t="s">
        <v>114</v>
      </c>
    </row>
    <row r="7" spans="1:4" x14ac:dyDescent="0.3">
      <c r="A7" t="s">
        <v>120</v>
      </c>
      <c r="B7" t="s">
        <v>115</v>
      </c>
      <c r="C7" t="s">
        <v>116</v>
      </c>
    </row>
    <row r="8" spans="1:4" x14ac:dyDescent="0.3">
      <c r="A8" t="s">
        <v>120</v>
      </c>
      <c r="B8" t="s">
        <v>117</v>
      </c>
      <c r="C8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7911-BC46-4579-8BCB-A988AB20DBA4}">
  <dimension ref="A1:AD28"/>
  <sheetViews>
    <sheetView topLeftCell="A4" zoomScale="184" zoomScaleNormal="184" workbookViewId="0">
      <selection activeCell="A29" sqref="A29"/>
    </sheetView>
  </sheetViews>
  <sheetFormatPr defaultRowHeight="31.2" x14ac:dyDescent="0.6"/>
  <cols>
    <col min="1" max="1" width="45" style="3" bestFit="1" customWidth="1"/>
    <col min="2" max="2" width="9" style="14" bestFit="1" customWidth="1"/>
    <col min="3" max="3" width="8.109375" style="21" bestFit="1" customWidth="1"/>
    <col min="4" max="8" width="7.44140625" style="3" hidden="1" customWidth="1"/>
    <col min="9" max="9" width="45" style="3" hidden="1" customWidth="1"/>
    <col min="10" max="10" width="9.88671875" style="18" hidden="1" customWidth="1"/>
    <col min="11" max="11" width="8.5546875" style="7" hidden="1" customWidth="1"/>
    <col min="12" max="20" width="0" hidden="1" customWidth="1"/>
    <col min="21" max="21" width="10.109375" bestFit="1" customWidth="1"/>
    <col min="23" max="24" width="10.88671875" bestFit="1" customWidth="1"/>
    <col min="29" max="29" width="11.33203125" bestFit="1" customWidth="1"/>
    <col min="30" max="30" width="9.88671875" bestFit="1" customWidth="1"/>
  </cols>
  <sheetData>
    <row r="1" spans="1:30" s="1" customFormat="1" ht="44.4" thickTop="1" thickBot="1" x14ac:dyDescent="0.35">
      <c r="A1" s="27" t="s">
        <v>1</v>
      </c>
      <c r="B1" s="28" t="s">
        <v>2</v>
      </c>
      <c r="C1" s="29" t="s">
        <v>3</v>
      </c>
      <c r="D1" s="12" t="s">
        <v>19</v>
      </c>
      <c r="E1" s="12" t="s">
        <v>18</v>
      </c>
      <c r="F1" s="12" t="s">
        <v>17</v>
      </c>
      <c r="G1" s="12" t="s">
        <v>4</v>
      </c>
      <c r="H1" s="12" t="s">
        <v>12</v>
      </c>
      <c r="I1" s="30" t="s">
        <v>1</v>
      </c>
      <c r="J1" s="31" t="s">
        <v>2</v>
      </c>
      <c r="K1" s="32" t="s">
        <v>3</v>
      </c>
    </row>
    <row r="2" spans="1:30" ht="47.4" thickTop="1" x14ac:dyDescent="0.45">
      <c r="A2" s="24" t="s">
        <v>81</v>
      </c>
      <c r="B2" s="25" t="s">
        <v>20</v>
      </c>
      <c r="C2" s="26">
        <f>MAX($B$13-B2)*1.5</f>
        <v>42</v>
      </c>
      <c r="D2" s="11">
        <f t="shared" ref="D2:D7" si="0">E2*F2</f>
        <v>29</v>
      </c>
      <c r="E2" s="11">
        <v>29</v>
      </c>
      <c r="F2" s="11">
        <v>1</v>
      </c>
      <c r="G2" s="11">
        <v>7</v>
      </c>
      <c r="H2" s="11">
        <v>31</v>
      </c>
      <c r="I2" s="24" t="s">
        <v>16</v>
      </c>
      <c r="J2" s="15"/>
      <c r="K2" s="2"/>
      <c r="L2">
        <v>19</v>
      </c>
      <c r="O2" t="s">
        <v>6</v>
      </c>
    </row>
    <row r="3" spans="1:30" ht="40.799999999999997" x14ac:dyDescent="0.6">
      <c r="A3" s="38" t="s">
        <v>83</v>
      </c>
      <c r="B3" s="19" t="s">
        <v>25</v>
      </c>
      <c r="C3" s="26">
        <f>MAX($B$13-B3)*2</f>
        <v>44</v>
      </c>
      <c r="D3" s="11">
        <f t="shared" si="0"/>
        <v>29</v>
      </c>
      <c r="E3" s="11">
        <v>29</v>
      </c>
      <c r="F3" s="11">
        <v>1</v>
      </c>
      <c r="G3" s="11">
        <v>7</v>
      </c>
      <c r="H3" s="11">
        <v>31</v>
      </c>
      <c r="I3" s="4" t="s">
        <v>30</v>
      </c>
      <c r="J3" s="16"/>
      <c r="K3" s="9"/>
      <c r="O3" t="s">
        <v>8</v>
      </c>
    </row>
    <row r="4" spans="1:30" ht="48.6" x14ac:dyDescent="0.6">
      <c r="A4" s="8" t="s">
        <v>56</v>
      </c>
      <c r="B4" s="19"/>
      <c r="C4" s="22">
        <f>MAX(($B$13/2)-B4,)</f>
        <v>14</v>
      </c>
      <c r="D4" s="11">
        <f t="shared" si="0"/>
        <v>14.5</v>
      </c>
      <c r="E4" s="11">
        <v>29</v>
      </c>
      <c r="F4" s="11">
        <v>0.5</v>
      </c>
      <c r="G4" s="11" t="s">
        <v>11</v>
      </c>
      <c r="H4" s="11" t="s">
        <v>13</v>
      </c>
      <c r="I4" s="4" t="s">
        <v>29</v>
      </c>
      <c r="J4" s="16"/>
      <c r="K4" s="9"/>
    </row>
    <row r="5" spans="1:30" ht="46.8" x14ac:dyDescent="0.4">
      <c r="A5" s="13" t="s">
        <v>33</v>
      </c>
      <c r="B5" s="19" t="s">
        <v>24</v>
      </c>
      <c r="C5" s="26">
        <f>MAX($B$13-B5)</f>
        <v>26</v>
      </c>
      <c r="D5" s="11">
        <f t="shared" si="0"/>
        <v>29</v>
      </c>
      <c r="E5" s="11">
        <v>29</v>
      </c>
      <c r="F5" s="11">
        <v>1</v>
      </c>
      <c r="G5" s="11">
        <v>7</v>
      </c>
      <c r="H5" s="11">
        <v>31</v>
      </c>
      <c r="I5" s="13" t="s">
        <v>15</v>
      </c>
      <c r="J5" s="16"/>
      <c r="K5" s="9"/>
    </row>
    <row r="6" spans="1:30" ht="46.8" x14ac:dyDescent="0.45">
      <c r="A6" s="8" t="s">
        <v>9</v>
      </c>
      <c r="B6" s="19" t="s">
        <v>28</v>
      </c>
      <c r="C6" s="22">
        <f>MAX(($B$13)-B6,0)</f>
        <v>21</v>
      </c>
      <c r="D6" s="11">
        <f t="shared" si="0"/>
        <v>58</v>
      </c>
      <c r="E6" s="11">
        <v>29</v>
      </c>
      <c r="F6" s="11">
        <v>2</v>
      </c>
      <c r="G6" s="11">
        <v>14</v>
      </c>
      <c r="H6" s="11">
        <v>62</v>
      </c>
      <c r="I6" s="8" t="s">
        <v>9</v>
      </c>
      <c r="J6" s="16"/>
      <c r="K6" s="9"/>
    </row>
    <row r="7" spans="1:30" x14ac:dyDescent="0.6">
      <c r="A7" s="4" t="s">
        <v>0</v>
      </c>
      <c r="B7" s="19" t="s">
        <v>24</v>
      </c>
      <c r="C7" s="22">
        <f>$B$13-B7</f>
        <v>26</v>
      </c>
      <c r="D7" s="11">
        <f t="shared" si="0"/>
        <v>29</v>
      </c>
      <c r="E7" s="11">
        <v>29</v>
      </c>
      <c r="F7" s="11">
        <v>1</v>
      </c>
      <c r="G7" s="11">
        <v>7</v>
      </c>
      <c r="H7" s="11">
        <v>31</v>
      </c>
      <c r="I7" s="4" t="s">
        <v>0</v>
      </c>
      <c r="J7" s="16"/>
      <c r="K7" s="9"/>
      <c r="O7" t="s">
        <v>7</v>
      </c>
    </row>
    <row r="8" spans="1:30" ht="46.8" x14ac:dyDescent="0.45">
      <c r="A8" s="8" t="s">
        <v>31</v>
      </c>
      <c r="B8" s="19" t="s">
        <v>22</v>
      </c>
      <c r="C8" s="22">
        <f>MAX($B$13-B8,0)</f>
        <v>27</v>
      </c>
      <c r="D8" s="11">
        <f>ROUND((E8/7)*G8,0)</f>
        <v>12</v>
      </c>
      <c r="E8" s="11">
        <v>29</v>
      </c>
      <c r="F8" s="11"/>
      <c r="G8" s="11">
        <v>3</v>
      </c>
      <c r="H8" s="11">
        <v>12</v>
      </c>
      <c r="I8" s="8" t="s">
        <v>31</v>
      </c>
      <c r="J8" s="16"/>
      <c r="K8" s="9"/>
    </row>
    <row r="9" spans="1:30" ht="31.8" thickBot="1" x14ac:dyDescent="0.65">
      <c r="A9" s="5" t="s">
        <v>14</v>
      </c>
      <c r="B9" s="20" t="s">
        <v>26</v>
      </c>
      <c r="C9" s="23">
        <f>($B$13/2)-B9</f>
        <v>10</v>
      </c>
      <c r="D9" s="11">
        <f>E9*F9</f>
        <v>14.5</v>
      </c>
      <c r="E9" s="11">
        <v>29</v>
      </c>
      <c r="F9" s="11">
        <v>0.5</v>
      </c>
      <c r="G9" s="11" t="s">
        <v>10</v>
      </c>
      <c r="H9" s="11" t="s">
        <v>13</v>
      </c>
      <c r="I9" s="5" t="s">
        <v>14</v>
      </c>
      <c r="J9" s="17"/>
      <c r="K9" s="10"/>
    </row>
    <row r="10" spans="1:30" ht="31.8" thickTop="1" x14ac:dyDescent="0.6">
      <c r="A10" s="6"/>
      <c r="I10" s="6"/>
    </row>
    <row r="11" spans="1:30" x14ac:dyDescent="0.6">
      <c r="A11" s="3" t="s">
        <v>5</v>
      </c>
      <c r="B11" s="42">
        <v>44983</v>
      </c>
      <c r="C11" s="42"/>
      <c r="I11" s="3" t="s">
        <v>5</v>
      </c>
      <c r="J11" s="43"/>
      <c r="K11" s="43"/>
      <c r="AD11" s="34"/>
    </row>
    <row r="12" spans="1:30" x14ac:dyDescent="0.6">
      <c r="A12" s="3" t="s">
        <v>37</v>
      </c>
      <c r="B12" s="46">
        <f>B15+(6-WEEKDAY(B15,3))</f>
        <v>45011</v>
      </c>
      <c r="C12" s="46"/>
      <c r="AD12" s="35"/>
    </row>
    <row r="13" spans="1:30" x14ac:dyDescent="0.6">
      <c r="A13" s="3" t="s">
        <v>38</v>
      </c>
      <c r="B13" s="44">
        <f>B12-B11</f>
        <v>28</v>
      </c>
      <c r="C13" s="44"/>
    </row>
    <row r="15" spans="1:30" x14ac:dyDescent="0.6">
      <c r="A15" s="3" t="s">
        <v>45</v>
      </c>
      <c r="B15" s="42">
        <f>DATE(YEAR(B11),MONTH(B11)+1,23)</f>
        <v>45008</v>
      </c>
      <c r="C15" s="42"/>
      <c r="U15" s="34"/>
      <c r="X15" s="39"/>
    </row>
    <row r="16" spans="1:30" x14ac:dyDescent="0.3">
      <c r="A16" s="41">
        <f ca="1">DAY(EOMONTH(B11,0))-DAY(NOW())</f>
        <v>23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1:24" x14ac:dyDescent="0.6">
      <c r="A17" s="3">
        <f ca="1">7-WEEKDAY(NOW(),2)</f>
        <v>5</v>
      </c>
      <c r="B17" s="33">
        <f>DATEDIF(X17,X18,"d")</f>
        <v>30</v>
      </c>
      <c r="X17" s="34">
        <v>44738</v>
      </c>
    </row>
    <row r="18" spans="1:24" x14ac:dyDescent="0.6">
      <c r="B18" s="18">
        <f>B12-B11</f>
        <v>28</v>
      </c>
      <c r="X18" s="34">
        <v>44768</v>
      </c>
    </row>
    <row r="20" spans="1:24" x14ac:dyDescent="0.6">
      <c r="A20" t="str">
        <f>ROUND(C2,0)&amp;" pcs. "&amp;SUBSTITUTE(A2,CHAR(10),"")&amp;", "</f>
        <v xml:space="preserve">42 pcs. Gliclazide MR 60mg (D) (Zeltine MR/Melandy-MR), </v>
      </c>
    </row>
    <row r="21" spans="1:24" x14ac:dyDescent="0.6">
      <c r="A21" t="str">
        <f t="shared" ref="A21:A27" si="1">A20&amp;CHAR(10)&amp;ROUND(C3,0)&amp;" pcs. "&amp;SUBSTITUTE(A3,CHAR(10),"")&amp;", "</f>
        <v xml:space="preserve">42 pcs. Gliclazide MR 60mg (D) (Zeltine MR/Melandy-MR), 
44 pcs. Carvedilol (H) 25mg/tab (BetaCard, Cardipres), </v>
      </c>
    </row>
    <row r="22" spans="1:24" x14ac:dyDescent="0.6">
      <c r="A22" t="str">
        <f t="shared" si="1"/>
        <v xml:space="preserve">42 pcs. Gliclazide MR 60mg (D) (Zeltine MR/Melandy-MR), 
44 pcs. Carvedilol (H) 25mg/tab (BetaCard, Cardipres), 
14 pcs. Subutril-Valsartan(V) 200mgVymada, </v>
      </c>
    </row>
    <row r="23" spans="1:24" x14ac:dyDescent="0.6">
      <c r="A23" t="str">
        <f t="shared" si="1"/>
        <v xml:space="preserve">42 pcs. Gliclazide MR 60mg (D) (Zeltine MR/Melandy-MR), 
44 pcs. Carvedilol (H) 25mg/tab (BetaCard, Cardipres), 
14 pcs. Subutril-Valsartan(V) 200mgVymada, 
26 pcs. Empagliflozin Linagliptin 25mg/10mg(D)(25mg/5mg(D)), </v>
      </c>
    </row>
    <row r="24" spans="1:24" x14ac:dyDescent="0.6">
      <c r="A24" t="str">
        <f t="shared" si="1"/>
        <v xml:space="preserve">42 pcs. Gliclazide MR 60mg (D) (Zeltine MR/Melandy-MR), 
44 pcs. Carvedilol (H) 25mg/tab (BetaCard, Cardipres), 
14 pcs. Subutril-Valsartan(V) 200mgVymada, 
26 pcs. Empagliflozin Linagliptin 25mg/10mg(D)(25mg/5mg(D)), 
21 pcs. Metformin Hydrochloride 1000mg (Fornidd XR), </v>
      </c>
    </row>
    <row r="25" spans="1:24" x14ac:dyDescent="0.6">
      <c r="A25" t="str">
        <f t="shared" si="1"/>
        <v xml:space="preserve">42 pcs. Gliclazide MR 60mg (D) (Zeltine MR/Melandy-MR), 
44 pcs. Carvedilol (H) 25mg/tab (BetaCard, Cardipres), 
14 pcs. Subutril-Valsartan(V) 200mgVymada, 
26 pcs. Empagliflozin Linagliptin 25mg/10mg(D)(25mg/5mg(D)), 
21 pcs. Metformin Hydrochloride 1000mg (Fornidd XR), 
26 pcs. Aspirin 80mg, </v>
      </c>
    </row>
    <row r="26" spans="1:24" x14ac:dyDescent="0.6">
      <c r="A26" t="str">
        <f t="shared" si="1"/>
        <v xml:space="preserve">42 pcs. Gliclazide MR 60mg (D) (Zeltine MR/Melandy-MR), 
44 pcs. Carvedilol (H) 25mg/tab (BetaCard, Cardipres), 
14 pcs. Subutril-Valsartan(V) 200mgVymada, 
26 pcs. Empagliflozin Linagliptin 25mg/10mg(D)(25mg/5mg(D)), 
21 pcs. Metformin Hydrochloride 1000mg (Fornidd XR), 
26 pcs. Aspirin 80mg, 
27 pcs. Rosuvastatin (Rovista/Rosewin) 5mg (MWF), </v>
      </c>
    </row>
    <row r="27" spans="1:24" x14ac:dyDescent="0.6">
      <c r="A27" t="str">
        <f t="shared" si="1"/>
        <v xml:space="preserve">42 pcs. Gliclazide MR 60mg (D) (Zeltine MR/Melandy-MR), 
44 pcs. Carvedilol (H) 25mg/tab (BetaCard, Cardipres), 
14 pcs. Subutril-Valsartan(V) 200mgVymada, 
26 pcs. Empagliflozin Linagliptin 25mg/10mg(D)(25mg/5mg(D)), 
21 pcs. Metformin Hydrochloride 1000mg (Fornidd XR), 
26 pcs. Aspirin 80mg, 
27 pcs. Rosuvastatin (Rovista/Rosewin) 5mg (MWF), 
10 pcs. Spironolactone ½ 50mg (W), </v>
      </c>
    </row>
    <row r="28" spans="1:24" ht="109.5" customHeight="1" x14ac:dyDescent="0.3">
      <c r="A28" s="45" t="s">
        <v>87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</row>
  </sheetData>
  <mergeCells count="7">
    <mergeCell ref="A28:X28"/>
    <mergeCell ref="B11:C11"/>
    <mergeCell ref="J11:K11"/>
    <mergeCell ref="B12:C12"/>
    <mergeCell ref="B13:C13"/>
    <mergeCell ref="B15:C15"/>
    <mergeCell ref="A16:AA16"/>
  </mergeCells>
  <pageMargins left="0.25" right="0.25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FA8E-3723-43E6-A19F-CB8D3CDE65F5}">
  <dimension ref="A1:AD28"/>
  <sheetViews>
    <sheetView topLeftCell="A8" zoomScale="184" zoomScaleNormal="184" workbookViewId="0">
      <selection activeCell="B15" sqref="B15:C15"/>
    </sheetView>
  </sheetViews>
  <sheetFormatPr defaultRowHeight="31.2" x14ac:dyDescent="0.6"/>
  <cols>
    <col min="1" max="1" width="45" style="3" bestFit="1" customWidth="1"/>
    <col min="2" max="2" width="9" style="14" bestFit="1" customWidth="1"/>
    <col min="3" max="3" width="8.109375" style="21" bestFit="1" customWidth="1"/>
    <col min="4" max="8" width="7.44140625" style="3" hidden="1" customWidth="1"/>
    <col min="9" max="9" width="45" style="3" hidden="1" customWidth="1"/>
    <col min="10" max="10" width="9.88671875" style="18" hidden="1" customWidth="1"/>
    <col min="11" max="11" width="8.5546875" style="7" hidden="1" customWidth="1"/>
    <col min="12" max="20" width="0" hidden="1" customWidth="1"/>
    <col min="21" max="21" width="10.109375" bestFit="1" customWidth="1"/>
    <col min="23" max="24" width="10.88671875" bestFit="1" customWidth="1"/>
    <col min="29" max="29" width="11.33203125" bestFit="1" customWidth="1"/>
    <col min="30" max="30" width="9.88671875" bestFit="1" customWidth="1"/>
  </cols>
  <sheetData>
    <row r="1" spans="1:30" s="1" customFormat="1" ht="44.4" thickTop="1" thickBot="1" x14ac:dyDescent="0.35">
      <c r="A1" s="27" t="s">
        <v>1</v>
      </c>
      <c r="B1" s="28" t="s">
        <v>2</v>
      </c>
      <c r="C1" s="29" t="s">
        <v>3</v>
      </c>
      <c r="D1" s="12" t="s">
        <v>19</v>
      </c>
      <c r="E1" s="12" t="s">
        <v>18</v>
      </c>
      <c r="F1" s="12" t="s">
        <v>17</v>
      </c>
      <c r="G1" s="12" t="s">
        <v>4</v>
      </c>
      <c r="H1" s="12" t="s">
        <v>12</v>
      </c>
      <c r="I1" s="30" t="s">
        <v>1</v>
      </c>
      <c r="J1" s="31" t="s">
        <v>2</v>
      </c>
      <c r="K1" s="32" t="s">
        <v>3</v>
      </c>
    </row>
    <row r="2" spans="1:30" ht="47.4" thickTop="1" x14ac:dyDescent="0.45">
      <c r="A2" s="24" t="s">
        <v>81</v>
      </c>
      <c r="B2" s="25" t="s">
        <v>88</v>
      </c>
      <c r="C2" s="26">
        <f>MAX($B$13-B2)*1.5</f>
        <v>30.75</v>
      </c>
      <c r="D2" s="11">
        <f t="shared" ref="D2:D7" si="0">E2*F2</f>
        <v>29</v>
      </c>
      <c r="E2" s="11">
        <v>29</v>
      </c>
      <c r="F2" s="11">
        <v>1</v>
      </c>
      <c r="G2" s="11">
        <v>7</v>
      </c>
      <c r="H2" s="11">
        <v>31</v>
      </c>
      <c r="I2" s="24" t="s">
        <v>16</v>
      </c>
      <c r="J2" s="15"/>
      <c r="K2" s="2"/>
      <c r="L2">
        <v>19</v>
      </c>
      <c r="O2" t="s">
        <v>6</v>
      </c>
    </row>
    <row r="3" spans="1:30" ht="40.799999999999997" x14ac:dyDescent="0.6">
      <c r="A3" s="38" t="s">
        <v>83</v>
      </c>
      <c r="B3" s="19" t="s">
        <v>24</v>
      </c>
      <c r="C3" s="26">
        <f>MAX($B$13-B3)*2</f>
        <v>52</v>
      </c>
      <c r="D3" s="11">
        <f t="shared" si="0"/>
        <v>29</v>
      </c>
      <c r="E3" s="11">
        <v>29</v>
      </c>
      <c r="F3" s="11">
        <v>1</v>
      </c>
      <c r="G3" s="11">
        <v>7</v>
      </c>
      <c r="H3" s="11">
        <v>31</v>
      </c>
      <c r="I3" s="4" t="s">
        <v>30</v>
      </c>
      <c r="J3" s="16"/>
      <c r="K3" s="9"/>
      <c r="O3" t="s">
        <v>8</v>
      </c>
    </row>
    <row r="4" spans="1:30" ht="48.6" x14ac:dyDescent="0.6">
      <c r="A4" s="8" t="s">
        <v>56</v>
      </c>
      <c r="B4" s="19"/>
      <c r="C4" s="22">
        <f>MAX(($B$13/2)-B4,)</f>
        <v>14</v>
      </c>
      <c r="D4" s="11">
        <f t="shared" si="0"/>
        <v>14.5</v>
      </c>
      <c r="E4" s="11">
        <v>29</v>
      </c>
      <c r="F4" s="11">
        <v>0.5</v>
      </c>
      <c r="G4" s="11" t="s">
        <v>11</v>
      </c>
      <c r="H4" s="11" t="s">
        <v>13</v>
      </c>
      <c r="I4" s="4" t="s">
        <v>29</v>
      </c>
      <c r="J4" s="16"/>
      <c r="K4" s="9"/>
    </row>
    <row r="5" spans="1:30" ht="46.8" x14ac:dyDescent="0.4">
      <c r="A5" s="13" t="s">
        <v>33</v>
      </c>
      <c r="B5" s="19" t="s">
        <v>20</v>
      </c>
      <c r="C5" s="26">
        <f>MAX($B$13-B5)</f>
        <v>28</v>
      </c>
      <c r="D5" s="11">
        <f t="shared" si="0"/>
        <v>29</v>
      </c>
      <c r="E5" s="11">
        <v>29</v>
      </c>
      <c r="F5" s="11">
        <v>1</v>
      </c>
      <c r="G5" s="11">
        <v>7</v>
      </c>
      <c r="H5" s="11">
        <v>31</v>
      </c>
      <c r="I5" s="13" t="s">
        <v>15</v>
      </c>
      <c r="J5" s="16"/>
      <c r="K5" s="9"/>
    </row>
    <row r="6" spans="1:30" ht="46.8" x14ac:dyDescent="0.45">
      <c r="A6" s="8" t="s">
        <v>9</v>
      </c>
      <c r="B6" s="19" t="s">
        <v>89</v>
      </c>
      <c r="C6" s="22">
        <f>MAX(($B$13)-B6,0)</f>
        <v>17</v>
      </c>
      <c r="D6" s="11">
        <f t="shared" si="0"/>
        <v>58</v>
      </c>
      <c r="E6" s="11">
        <v>29</v>
      </c>
      <c r="F6" s="11">
        <v>2</v>
      </c>
      <c r="G6" s="11">
        <v>14</v>
      </c>
      <c r="H6" s="11">
        <v>62</v>
      </c>
      <c r="I6" s="8" t="s">
        <v>9</v>
      </c>
      <c r="J6" s="16"/>
      <c r="K6" s="9"/>
    </row>
    <row r="7" spans="1:30" x14ac:dyDescent="0.6">
      <c r="A7" s="4" t="s">
        <v>0</v>
      </c>
      <c r="B7" s="19" t="s">
        <v>20</v>
      </c>
      <c r="C7" s="22">
        <f>$B$13-B7</f>
        <v>28</v>
      </c>
      <c r="D7" s="11">
        <f t="shared" si="0"/>
        <v>29</v>
      </c>
      <c r="E7" s="11">
        <v>29</v>
      </c>
      <c r="F7" s="11">
        <v>1</v>
      </c>
      <c r="G7" s="11">
        <v>7</v>
      </c>
      <c r="H7" s="11">
        <v>31</v>
      </c>
      <c r="I7" s="4" t="s">
        <v>0</v>
      </c>
      <c r="J7" s="16"/>
      <c r="K7" s="9"/>
      <c r="O7" t="s">
        <v>7</v>
      </c>
    </row>
    <row r="8" spans="1:30" ht="46.8" x14ac:dyDescent="0.45">
      <c r="A8" s="8" t="s">
        <v>31</v>
      </c>
      <c r="B8" s="19" t="s">
        <v>72</v>
      </c>
      <c r="C8" s="22">
        <f>MAX($B$13-B8,0)</f>
        <v>19</v>
      </c>
      <c r="D8" s="11">
        <f>ROUND((E8/7)*G8,0)</f>
        <v>12</v>
      </c>
      <c r="E8" s="11">
        <v>29</v>
      </c>
      <c r="F8" s="11"/>
      <c r="G8" s="11">
        <v>3</v>
      </c>
      <c r="H8" s="11">
        <v>12</v>
      </c>
      <c r="I8" s="8" t="s">
        <v>31</v>
      </c>
      <c r="J8" s="16"/>
      <c r="K8" s="9"/>
    </row>
    <row r="9" spans="1:30" ht="31.8" thickBot="1" x14ac:dyDescent="0.65">
      <c r="A9" s="5" t="s">
        <v>14</v>
      </c>
      <c r="B9" s="20" t="s">
        <v>22</v>
      </c>
      <c r="C9" s="23">
        <f>($B$13/2)-B9</f>
        <v>13</v>
      </c>
      <c r="D9" s="11">
        <f>E9*F9</f>
        <v>14.5</v>
      </c>
      <c r="E9" s="11">
        <v>29</v>
      </c>
      <c r="F9" s="11">
        <v>0.5</v>
      </c>
      <c r="G9" s="11" t="s">
        <v>10</v>
      </c>
      <c r="H9" s="11" t="s">
        <v>13</v>
      </c>
      <c r="I9" s="5" t="s">
        <v>14</v>
      </c>
      <c r="J9" s="17"/>
      <c r="K9" s="10"/>
    </row>
    <row r="10" spans="1:30" ht="31.8" thickTop="1" x14ac:dyDescent="0.6">
      <c r="A10" s="6"/>
      <c r="I10" s="6"/>
    </row>
    <row r="11" spans="1:30" x14ac:dyDescent="0.6">
      <c r="A11" s="3" t="s">
        <v>5</v>
      </c>
      <c r="B11" s="42">
        <v>44983</v>
      </c>
      <c r="C11" s="42"/>
      <c r="I11" s="3" t="s">
        <v>5</v>
      </c>
      <c r="J11" s="43"/>
      <c r="K11" s="43"/>
      <c r="AD11" s="34"/>
    </row>
    <row r="12" spans="1:30" x14ac:dyDescent="0.6">
      <c r="A12" s="3" t="s">
        <v>37</v>
      </c>
      <c r="B12" s="46">
        <f>B15+(6-WEEKDAY(B15,3))</f>
        <v>45011</v>
      </c>
      <c r="C12" s="46"/>
      <c r="AD12" s="35"/>
    </row>
    <row r="13" spans="1:30" x14ac:dyDescent="0.6">
      <c r="A13" s="3" t="s">
        <v>38</v>
      </c>
      <c r="B13" s="44">
        <f>B12-B11</f>
        <v>28</v>
      </c>
      <c r="C13" s="44"/>
    </row>
    <row r="15" spans="1:30" x14ac:dyDescent="0.6">
      <c r="A15" s="3" t="s">
        <v>45</v>
      </c>
      <c r="B15" s="42">
        <f>DATE(YEAR(B11),MONTH(B11)+1,23)</f>
        <v>45008</v>
      </c>
      <c r="C15" s="42"/>
      <c r="U15" s="34"/>
      <c r="X15" s="39"/>
    </row>
    <row r="16" spans="1:30" x14ac:dyDescent="0.3">
      <c r="A16" s="41">
        <f ca="1">DAY(EOMONTH(B11,0))-DAY(NOW())</f>
        <v>23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1:24" x14ac:dyDescent="0.6">
      <c r="A17" s="3">
        <f ca="1">7-WEEKDAY(NOW(),2)</f>
        <v>5</v>
      </c>
      <c r="B17" s="33">
        <f>DATEDIF(X17,X18,"d")</f>
        <v>30</v>
      </c>
      <c r="X17" s="34">
        <v>44738</v>
      </c>
    </row>
    <row r="18" spans="1:24" x14ac:dyDescent="0.6">
      <c r="B18" s="18">
        <f>B12-B11</f>
        <v>28</v>
      </c>
      <c r="X18" s="34">
        <v>44768</v>
      </c>
    </row>
    <row r="20" spans="1:24" x14ac:dyDescent="0.6">
      <c r="A20" t="str">
        <f>ROUND(C2,0)&amp;" pcs. "&amp;SUBSTITUTE(A2,CHAR(10),"")&amp;", "</f>
        <v xml:space="preserve">31 pcs. Gliclazide MR 60mg (D) (Zeltine MR/Melandy-MR), </v>
      </c>
    </row>
    <row r="21" spans="1:24" x14ac:dyDescent="0.6">
      <c r="A21" t="str">
        <f t="shared" ref="A21:A27" si="1">A20&amp;CHAR(10)&amp;ROUND(C3,0)&amp;" pcs. "&amp;SUBSTITUTE(A3,CHAR(10),"")&amp;", "</f>
        <v xml:space="preserve">31 pcs. Gliclazide MR 60mg (D) (Zeltine MR/Melandy-MR), 
52 pcs. Carvedilol (H) 25mg/tab (BetaCard, Cardipres), </v>
      </c>
    </row>
    <row r="22" spans="1:24" x14ac:dyDescent="0.6">
      <c r="A22" t="str">
        <f t="shared" si="1"/>
        <v xml:space="preserve">31 pcs. Gliclazide MR 60mg (D) (Zeltine MR/Melandy-MR), 
52 pcs. Carvedilol (H) 25mg/tab (BetaCard, Cardipres), 
14 pcs. Subutril-Valsartan(V) 200mgVymada, </v>
      </c>
    </row>
    <row r="23" spans="1:24" x14ac:dyDescent="0.6">
      <c r="A23" t="str">
        <f t="shared" si="1"/>
        <v xml:space="preserve">31 pcs. Gliclazide MR 60mg (D) (Zeltine MR/Melandy-MR), 
52 pcs. Carvedilol (H) 25mg/tab (BetaCard, Cardipres), 
14 pcs. Subutril-Valsartan(V) 200mgVymada, 
28 pcs. Empagliflozin Linagliptin 25mg/10mg(D)(25mg/5mg(D)), </v>
      </c>
    </row>
    <row r="24" spans="1:24" x14ac:dyDescent="0.6">
      <c r="A24" t="str">
        <f t="shared" si="1"/>
        <v xml:space="preserve">31 pcs. Gliclazide MR 60mg (D) (Zeltine MR/Melandy-MR), 
52 pcs. Carvedilol (H) 25mg/tab (BetaCard, Cardipres), 
14 pcs. Subutril-Valsartan(V) 200mgVymada, 
28 pcs. Empagliflozin Linagliptin 25mg/10mg(D)(25mg/5mg(D)), 
17 pcs. Metformin Hydrochloride 1000mg (Fornidd XR), </v>
      </c>
    </row>
    <row r="25" spans="1:24" x14ac:dyDescent="0.6">
      <c r="A25" t="str">
        <f t="shared" si="1"/>
        <v xml:space="preserve">31 pcs. Gliclazide MR 60mg (D) (Zeltine MR/Melandy-MR), 
52 pcs. Carvedilol (H) 25mg/tab (BetaCard, Cardipres), 
14 pcs. Subutril-Valsartan(V) 200mgVymada, 
28 pcs. Empagliflozin Linagliptin 25mg/10mg(D)(25mg/5mg(D)), 
17 pcs. Metformin Hydrochloride 1000mg (Fornidd XR), 
28 pcs. Aspirin 80mg, </v>
      </c>
    </row>
    <row r="26" spans="1:24" x14ac:dyDescent="0.6">
      <c r="A26" t="str">
        <f t="shared" si="1"/>
        <v xml:space="preserve">31 pcs. Gliclazide MR 60mg (D) (Zeltine MR/Melandy-MR), 
52 pcs. Carvedilol (H) 25mg/tab (BetaCard, Cardipres), 
14 pcs. Subutril-Valsartan(V) 200mgVymada, 
28 pcs. Empagliflozin Linagliptin 25mg/10mg(D)(25mg/5mg(D)), 
17 pcs. Metformin Hydrochloride 1000mg (Fornidd XR), 
28 pcs. Aspirin 80mg, 
19 pcs. Rosuvastatin (Rovista/Rosewin) 5mg (MWF), </v>
      </c>
    </row>
    <row r="27" spans="1:24" x14ac:dyDescent="0.6">
      <c r="A27" t="str">
        <f t="shared" si="1"/>
        <v xml:space="preserve">31 pcs. Gliclazide MR 60mg (D) (Zeltine MR/Melandy-MR), 
52 pcs. Carvedilol (H) 25mg/tab (BetaCard, Cardipres), 
14 pcs. Subutril-Valsartan(V) 200mgVymada, 
28 pcs. Empagliflozin Linagliptin 25mg/10mg(D)(25mg/5mg(D)), 
17 pcs. Metformin Hydrochloride 1000mg (Fornidd XR), 
28 pcs. Aspirin 80mg, 
19 pcs. Rosuvastatin (Rovista/Rosewin) 5mg (MWF), 
13 pcs. Spironolactone ½ 50mg (W), </v>
      </c>
    </row>
    <row r="28" spans="1:24" ht="109.5" customHeight="1" x14ac:dyDescent="0.3">
      <c r="A28" s="45" t="s">
        <v>87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</row>
  </sheetData>
  <mergeCells count="7">
    <mergeCell ref="A28:X28"/>
    <mergeCell ref="B11:C11"/>
    <mergeCell ref="J11:K11"/>
    <mergeCell ref="B12:C12"/>
    <mergeCell ref="B13:C13"/>
    <mergeCell ref="B15:C15"/>
    <mergeCell ref="A16:AA16"/>
  </mergeCells>
  <pageMargins left="0.25" right="0.25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3128-DB68-4B4C-8C10-8FFF43855F98}">
  <dimension ref="A1:AD29"/>
  <sheetViews>
    <sheetView topLeftCell="B1" zoomScale="184" zoomScaleNormal="184" workbookViewId="0">
      <selection activeCell="G2" sqref="G2"/>
    </sheetView>
  </sheetViews>
  <sheetFormatPr defaultRowHeight="31.2" x14ac:dyDescent="0.6"/>
  <cols>
    <col min="1" max="1" width="45" style="3" bestFit="1" customWidth="1"/>
    <col min="2" max="2" width="9" style="14" bestFit="1" customWidth="1"/>
    <col min="3" max="3" width="8.109375" style="21" bestFit="1" customWidth="1"/>
    <col min="4" max="8" width="7.44140625" style="3" customWidth="1"/>
    <col min="9" max="9" width="45" style="3" customWidth="1"/>
    <col min="10" max="10" width="9.88671875" style="18" customWidth="1"/>
    <col min="11" max="11" width="8.5546875" style="7" customWidth="1"/>
    <col min="12" max="20" width="9.109375" customWidth="1"/>
    <col min="21" max="21" width="10.109375" bestFit="1" customWidth="1"/>
    <col min="23" max="24" width="10.88671875" bestFit="1" customWidth="1"/>
    <col min="29" max="29" width="11.33203125" bestFit="1" customWidth="1"/>
    <col min="30" max="30" width="9.88671875" bestFit="1" customWidth="1"/>
  </cols>
  <sheetData>
    <row r="1" spans="1:30" s="1" customFormat="1" ht="44.4" thickTop="1" thickBot="1" x14ac:dyDescent="0.35">
      <c r="A1" s="27" t="s">
        <v>1</v>
      </c>
      <c r="B1" s="28" t="s">
        <v>2</v>
      </c>
      <c r="C1" s="29" t="s">
        <v>3</v>
      </c>
      <c r="D1" s="12" t="s">
        <v>19</v>
      </c>
      <c r="E1" s="12" t="s">
        <v>18</v>
      </c>
      <c r="F1" s="12" t="s">
        <v>17</v>
      </c>
      <c r="G1" s="12" t="s">
        <v>4</v>
      </c>
      <c r="H1" s="12" t="s">
        <v>12</v>
      </c>
      <c r="I1" s="30" t="s">
        <v>1</v>
      </c>
      <c r="J1" s="31" t="s">
        <v>2</v>
      </c>
      <c r="K1" s="32" t="s">
        <v>3</v>
      </c>
    </row>
    <row r="2" spans="1:30" ht="47.4" thickTop="1" x14ac:dyDescent="0.45">
      <c r="A2" s="24" t="s">
        <v>81</v>
      </c>
      <c r="B2" s="25" t="s">
        <v>91</v>
      </c>
      <c r="C2" s="26">
        <f>MAX(0,ROUND(($B$13*F2)-B2,0))</f>
        <v>7</v>
      </c>
      <c r="D2" s="11">
        <f t="shared" ref="D2:D7" si="0">E2*F2</f>
        <v>43.5</v>
      </c>
      <c r="E2" s="11">
        <v>29</v>
      </c>
      <c r="F2" s="11">
        <v>1.5</v>
      </c>
      <c r="G2" s="11">
        <f t="shared" ref="G2:G9" si="1">7*F2</f>
        <v>10.5</v>
      </c>
      <c r="H2" s="11">
        <f t="shared" ref="H2:H9" si="2">31*F2</f>
        <v>46.5</v>
      </c>
      <c r="I2" s="24" t="s">
        <v>16</v>
      </c>
      <c r="J2" s="15"/>
      <c r="K2" s="2"/>
      <c r="L2">
        <v>19</v>
      </c>
      <c r="O2" t="s">
        <v>6</v>
      </c>
    </row>
    <row r="3" spans="1:30" ht="40.799999999999997" x14ac:dyDescent="0.6">
      <c r="A3" s="38" t="s">
        <v>83</v>
      </c>
      <c r="B3" s="19" t="s">
        <v>92</v>
      </c>
      <c r="C3" s="26">
        <f t="shared" ref="C3:C9" si="3">MAX(0,ROUND(($B$13*F3)-B3,0))</f>
        <v>10</v>
      </c>
      <c r="D3" s="11">
        <f t="shared" si="0"/>
        <v>58</v>
      </c>
      <c r="E3" s="11">
        <v>29</v>
      </c>
      <c r="F3" s="11">
        <v>2</v>
      </c>
      <c r="G3" s="11">
        <f t="shared" si="1"/>
        <v>14</v>
      </c>
      <c r="H3" s="11">
        <f t="shared" si="2"/>
        <v>62</v>
      </c>
      <c r="I3" s="4" t="s">
        <v>30</v>
      </c>
      <c r="J3" s="16"/>
      <c r="K3" s="9"/>
      <c r="O3" t="s">
        <v>8</v>
      </c>
    </row>
    <row r="4" spans="1:30" ht="48.6" x14ac:dyDescent="0.6">
      <c r="A4" s="8" t="s">
        <v>56</v>
      </c>
      <c r="B4" s="19" t="s">
        <v>23</v>
      </c>
      <c r="C4" s="26">
        <f t="shared" si="3"/>
        <v>6</v>
      </c>
      <c r="D4" s="11">
        <f t="shared" si="0"/>
        <v>14.5</v>
      </c>
      <c r="E4" s="11">
        <v>29</v>
      </c>
      <c r="F4" s="11">
        <v>0.5</v>
      </c>
      <c r="G4" s="11">
        <f t="shared" si="1"/>
        <v>3.5</v>
      </c>
      <c r="H4" s="11">
        <f t="shared" si="2"/>
        <v>15.5</v>
      </c>
      <c r="I4" s="4" t="s">
        <v>29</v>
      </c>
      <c r="J4" s="16"/>
      <c r="K4" s="9"/>
    </row>
    <row r="5" spans="1:30" ht="46.8" x14ac:dyDescent="0.4">
      <c r="A5" s="13" t="s">
        <v>33</v>
      </c>
      <c r="B5" s="19" t="s">
        <v>69</v>
      </c>
      <c r="C5" s="26">
        <f t="shared" si="3"/>
        <v>1</v>
      </c>
      <c r="D5" s="11">
        <f t="shared" si="0"/>
        <v>29</v>
      </c>
      <c r="E5" s="11">
        <v>29</v>
      </c>
      <c r="F5" s="11">
        <v>1</v>
      </c>
      <c r="G5" s="11">
        <f t="shared" si="1"/>
        <v>7</v>
      </c>
      <c r="H5" s="11">
        <f t="shared" si="2"/>
        <v>31</v>
      </c>
      <c r="I5" s="13" t="s">
        <v>15</v>
      </c>
      <c r="J5" s="16"/>
      <c r="K5" s="9"/>
    </row>
    <row r="6" spans="1:30" ht="46.8" x14ac:dyDescent="0.45">
      <c r="A6" s="8" t="s">
        <v>9</v>
      </c>
      <c r="B6" s="19" t="s">
        <v>21</v>
      </c>
      <c r="C6" s="26">
        <f t="shared" si="3"/>
        <v>11</v>
      </c>
      <c r="D6" s="11">
        <f t="shared" si="0"/>
        <v>29</v>
      </c>
      <c r="E6" s="11">
        <v>29</v>
      </c>
      <c r="F6" s="11">
        <v>1</v>
      </c>
      <c r="G6" s="11">
        <f t="shared" si="1"/>
        <v>7</v>
      </c>
      <c r="H6" s="11">
        <f t="shared" si="2"/>
        <v>31</v>
      </c>
      <c r="I6" s="8" t="s">
        <v>9</v>
      </c>
      <c r="J6" s="16"/>
      <c r="K6" s="9"/>
    </row>
    <row r="7" spans="1:30" x14ac:dyDescent="0.6">
      <c r="A7" s="4" t="s">
        <v>0</v>
      </c>
      <c r="B7" s="19" t="s">
        <v>79</v>
      </c>
      <c r="C7" s="26">
        <f t="shared" si="3"/>
        <v>2</v>
      </c>
      <c r="D7" s="11">
        <f t="shared" si="0"/>
        <v>29</v>
      </c>
      <c r="E7" s="11">
        <v>29</v>
      </c>
      <c r="F7" s="11">
        <v>1</v>
      </c>
      <c r="G7" s="11">
        <f t="shared" si="1"/>
        <v>7</v>
      </c>
      <c r="H7" s="11">
        <f t="shared" si="2"/>
        <v>31</v>
      </c>
      <c r="I7" s="4" t="s">
        <v>0</v>
      </c>
      <c r="J7" s="16"/>
      <c r="K7" s="9"/>
      <c r="O7" t="s">
        <v>7</v>
      </c>
    </row>
    <row r="8" spans="1:30" ht="46.8" x14ac:dyDescent="0.45">
      <c r="A8" s="8" t="s">
        <v>31</v>
      </c>
      <c r="B8" s="19" t="s">
        <v>35</v>
      </c>
      <c r="C8" s="26">
        <f t="shared" si="3"/>
        <v>6</v>
      </c>
      <c r="D8" s="11">
        <f>ROUND((E8/7)*G8,0)</f>
        <v>29</v>
      </c>
      <c r="E8" s="11">
        <v>29</v>
      </c>
      <c r="F8" s="11">
        <v>1</v>
      </c>
      <c r="G8" s="11">
        <f t="shared" si="1"/>
        <v>7</v>
      </c>
      <c r="H8" s="11">
        <f t="shared" si="2"/>
        <v>31</v>
      </c>
      <c r="I8" s="8" t="s">
        <v>31</v>
      </c>
      <c r="J8" s="16"/>
      <c r="K8" s="9"/>
    </row>
    <row r="9" spans="1:30" ht="31.8" thickBot="1" x14ac:dyDescent="0.65">
      <c r="A9" s="5" t="s">
        <v>14</v>
      </c>
      <c r="B9" s="20" t="s">
        <v>24</v>
      </c>
      <c r="C9" s="26">
        <f t="shared" si="3"/>
        <v>5</v>
      </c>
      <c r="D9" s="11">
        <f>E9*F9</f>
        <v>14.5</v>
      </c>
      <c r="E9" s="11">
        <v>29</v>
      </c>
      <c r="F9" s="11">
        <v>0.5</v>
      </c>
      <c r="G9" s="11">
        <f t="shared" si="1"/>
        <v>3.5</v>
      </c>
      <c r="H9" s="11">
        <f t="shared" si="2"/>
        <v>15.5</v>
      </c>
      <c r="I9" s="5" t="s">
        <v>14</v>
      </c>
      <c r="J9" s="17"/>
      <c r="K9" s="10"/>
    </row>
    <row r="10" spans="1:30" ht="31.8" thickTop="1" x14ac:dyDescent="0.6">
      <c r="A10" s="6"/>
      <c r="I10" s="6"/>
    </row>
    <row r="11" spans="1:30" x14ac:dyDescent="0.6">
      <c r="A11" s="3" t="s">
        <v>5</v>
      </c>
      <c r="B11" s="42">
        <v>45026</v>
      </c>
      <c r="C11" s="42"/>
      <c r="I11" s="3" t="s">
        <v>5</v>
      </c>
      <c r="J11" s="43"/>
      <c r="K11" s="43"/>
      <c r="AD11" s="34"/>
    </row>
    <row r="12" spans="1:30" x14ac:dyDescent="0.6">
      <c r="A12" s="3" t="s">
        <v>37</v>
      </c>
      <c r="B12" s="46">
        <v>45040</v>
      </c>
      <c r="C12" s="46"/>
      <c r="AD12" s="35"/>
    </row>
    <row r="13" spans="1:30" x14ac:dyDescent="0.6">
      <c r="A13" s="3" t="s">
        <v>38</v>
      </c>
      <c r="B13" s="44">
        <f>B12-B11</f>
        <v>14</v>
      </c>
      <c r="C13" s="44"/>
    </row>
    <row r="15" spans="1:30" x14ac:dyDescent="0.6">
      <c r="A15" s="3" t="s">
        <v>45</v>
      </c>
      <c r="B15" s="42">
        <f>DATE(YEAR(B11),MONTH(B11)+1,23)</f>
        <v>45069</v>
      </c>
      <c r="C15" s="42"/>
      <c r="U15" s="34"/>
      <c r="X15" s="39"/>
    </row>
    <row r="16" spans="1:30" x14ac:dyDescent="0.3">
      <c r="A16" s="41">
        <f ca="1">DAY(EOMONTH(B11,0))-DAY(NOW())</f>
        <v>25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1:24" x14ac:dyDescent="0.6">
      <c r="A17" s="3">
        <f ca="1">7-WEEKDAY(NOW(),2)</f>
        <v>5</v>
      </c>
      <c r="B17" s="33">
        <f>DATEDIF(X17,X18,"d")</f>
        <v>30</v>
      </c>
      <c r="X17" s="34">
        <v>44738</v>
      </c>
    </row>
    <row r="18" spans="1:24" x14ac:dyDescent="0.6">
      <c r="B18" s="18">
        <f>B12-B11</f>
        <v>14</v>
      </c>
      <c r="X18" s="34">
        <v>44768</v>
      </c>
    </row>
    <row r="20" spans="1:24" x14ac:dyDescent="0.6">
      <c r="A20" t="str">
        <f>ROUND(C2,0)&amp;" pcs. "&amp;SUBSTITUTE(A2,CHAR(10),"")&amp;", "</f>
        <v xml:space="preserve">7 pcs. Gliclazide MR 60mg (D) (Zeltine MR/Melandy-MR), </v>
      </c>
    </row>
    <row r="21" spans="1:24" x14ac:dyDescent="0.6">
      <c r="A21" t="str">
        <f t="shared" ref="A21:A27" si="4">A20&amp;CHAR(10)&amp;ROUND(C3,0)&amp;" pcs. "&amp;SUBSTITUTE(A3,CHAR(10),"")&amp;", "</f>
        <v xml:space="preserve">7 pcs. Gliclazide MR 60mg (D) (Zeltine MR/Melandy-MR), 
10 pcs. Carvedilol (H) 25mg/tab (BetaCard, Cardipres), </v>
      </c>
    </row>
    <row r="22" spans="1:24" x14ac:dyDescent="0.6">
      <c r="A22" t="str">
        <f t="shared" si="4"/>
        <v xml:space="preserve">7 pcs. Gliclazide MR 60mg (D) (Zeltine MR/Melandy-MR), 
10 pcs. Carvedilol (H) 25mg/tab (BetaCard, Cardipres), 
6 pcs. Subutril-Valsartan(V) 200mgVymada, </v>
      </c>
    </row>
    <row r="23" spans="1:24" x14ac:dyDescent="0.6">
      <c r="A23" t="str">
        <f t="shared" si="4"/>
        <v xml:space="preserve">7 pcs. Gliclazide MR 60mg (D) (Zeltine MR/Melandy-MR), 
10 pcs. Carvedilol (H) 25mg/tab (BetaCard, Cardipres), 
6 pcs. Subutril-Valsartan(V) 200mgVymada, 
1 pcs. Empagliflozin Linagliptin 25mg/10mg(D)(25mg/5mg(D)), </v>
      </c>
    </row>
    <row r="24" spans="1:24" x14ac:dyDescent="0.6">
      <c r="A24" t="str">
        <f t="shared" si="4"/>
        <v xml:space="preserve">7 pcs. Gliclazide MR 60mg (D) (Zeltine MR/Melandy-MR), 
10 pcs. Carvedilol (H) 25mg/tab (BetaCard, Cardipres), 
6 pcs. Subutril-Valsartan(V) 200mgVymada, 
1 pcs. Empagliflozin Linagliptin 25mg/10mg(D)(25mg/5mg(D)), 
11 pcs. Metformin Hydrochloride 1000mg (Fornidd XR), </v>
      </c>
    </row>
    <row r="25" spans="1:24" x14ac:dyDescent="0.6">
      <c r="A25" t="str">
        <f t="shared" si="4"/>
        <v xml:space="preserve">7 pcs. Gliclazide MR 60mg (D) (Zeltine MR/Melandy-MR), 
10 pcs. Carvedilol (H) 25mg/tab (BetaCard, Cardipres), 
6 pcs. Subutril-Valsartan(V) 200mgVymada, 
1 pcs. Empagliflozin Linagliptin 25mg/10mg(D)(25mg/5mg(D)), 
11 pcs. Metformin Hydrochloride 1000mg (Fornidd XR), 
2 pcs. Aspirin 80mg, </v>
      </c>
    </row>
    <row r="26" spans="1:24" x14ac:dyDescent="0.6">
      <c r="A26" t="str">
        <f t="shared" si="4"/>
        <v xml:space="preserve">7 pcs. Gliclazide MR 60mg (D) (Zeltine MR/Melandy-MR), 
10 pcs. Carvedilol (H) 25mg/tab (BetaCard, Cardipres), 
6 pcs. Subutril-Valsartan(V) 200mgVymada, 
1 pcs. Empagliflozin Linagliptin 25mg/10mg(D)(25mg/5mg(D)), 
11 pcs. Metformin Hydrochloride 1000mg (Fornidd XR), 
2 pcs. Aspirin 80mg, 
6 pcs. Rosuvastatin (Rovista/Rosewin) 5mg (MWF), </v>
      </c>
    </row>
    <row r="27" spans="1:24" x14ac:dyDescent="0.6">
      <c r="A27" t="str">
        <f t="shared" si="4"/>
        <v xml:space="preserve">7 pcs. Gliclazide MR 60mg (D) (Zeltine MR/Melandy-MR), 
10 pcs. Carvedilol (H) 25mg/tab (BetaCard, Cardipres), 
6 pcs. Subutril-Valsartan(V) 200mgVymada, 
1 pcs. Empagliflozin Linagliptin 25mg/10mg(D)(25mg/5mg(D)), 
11 pcs. Metformin Hydrochloride 1000mg (Fornidd XR), 
2 pcs. Aspirin 80mg, 
6 pcs. Rosuvastatin (Rovista/Rosewin) 5mg (MWF), 
5 pcs. Spironolactone ½ 50mg (W), </v>
      </c>
    </row>
    <row r="28" spans="1:24" ht="176.4" x14ac:dyDescent="0.6">
      <c r="A28" s="37" t="s">
        <v>93</v>
      </c>
    </row>
    <row r="29" spans="1:24" ht="126.75" customHeight="1" x14ac:dyDescent="0.3">
      <c r="A29" s="45" t="s">
        <v>93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</row>
  </sheetData>
  <mergeCells count="7">
    <mergeCell ref="A29:X29"/>
    <mergeCell ref="B11:C11"/>
    <mergeCell ref="J11:K11"/>
    <mergeCell ref="B12:C12"/>
    <mergeCell ref="B13:C13"/>
    <mergeCell ref="B15:C15"/>
    <mergeCell ref="A16:AA16"/>
  </mergeCells>
  <pageMargins left="0.25" right="0.25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1019-7717-4380-A056-E772E281EC92}">
  <dimension ref="A1:AD28"/>
  <sheetViews>
    <sheetView topLeftCell="A25" zoomScale="184" zoomScaleNormal="184" workbookViewId="0">
      <selection activeCell="A29" sqref="A29"/>
    </sheetView>
  </sheetViews>
  <sheetFormatPr defaultRowHeight="31.2" x14ac:dyDescent="0.6"/>
  <cols>
    <col min="1" max="1" width="45" style="3" bestFit="1" customWidth="1"/>
    <col min="2" max="2" width="9" style="14" bestFit="1" customWidth="1"/>
    <col min="3" max="3" width="8.109375" style="21" bestFit="1" customWidth="1"/>
    <col min="4" max="8" width="7.44140625" style="3" customWidth="1"/>
    <col min="9" max="9" width="45" style="3" customWidth="1"/>
    <col min="10" max="10" width="9.88671875" style="18" customWidth="1"/>
    <col min="11" max="11" width="8.5546875" style="7" customWidth="1"/>
    <col min="12" max="20" width="9.109375" customWidth="1"/>
    <col min="21" max="21" width="10.109375" bestFit="1" customWidth="1"/>
    <col min="23" max="24" width="10.88671875" bestFit="1" customWidth="1"/>
    <col min="29" max="29" width="11.33203125" bestFit="1" customWidth="1"/>
    <col min="30" max="30" width="9.88671875" bestFit="1" customWidth="1"/>
  </cols>
  <sheetData>
    <row r="1" spans="1:30" s="1" customFormat="1" ht="44.4" thickTop="1" thickBot="1" x14ac:dyDescent="0.35">
      <c r="A1" s="27" t="s">
        <v>1</v>
      </c>
      <c r="B1" s="28" t="s">
        <v>2</v>
      </c>
      <c r="C1" s="29" t="s">
        <v>3</v>
      </c>
      <c r="D1" s="12" t="s">
        <v>19</v>
      </c>
      <c r="E1" s="12" t="s">
        <v>18</v>
      </c>
      <c r="F1" s="12" t="s">
        <v>17</v>
      </c>
      <c r="G1" s="12" t="s">
        <v>4</v>
      </c>
      <c r="H1" s="12" t="s">
        <v>12</v>
      </c>
      <c r="I1" s="30" t="s">
        <v>1</v>
      </c>
      <c r="J1" s="31" t="s">
        <v>2</v>
      </c>
      <c r="K1" s="32" t="s">
        <v>3</v>
      </c>
    </row>
    <row r="2" spans="1:30" ht="47.4" thickTop="1" x14ac:dyDescent="0.45">
      <c r="A2" s="24" t="s">
        <v>81</v>
      </c>
      <c r="B2" s="25" t="s">
        <v>24</v>
      </c>
      <c r="C2" s="26">
        <f>MAX(0,ROUND(($B$13*F2)-B2,0))</f>
        <v>51</v>
      </c>
      <c r="D2" s="11">
        <f t="shared" ref="D2:D7" si="0">E2*F2</f>
        <v>52.5</v>
      </c>
      <c r="E2" s="11">
        <f>$B$13</f>
        <v>35</v>
      </c>
      <c r="F2" s="11">
        <v>1.5</v>
      </c>
      <c r="G2" s="11">
        <f>7*F2</f>
        <v>10.5</v>
      </c>
      <c r="H2" s="11">
        <f>31*F2</f>
        <v>46.5</v>
      </c>
      <c r="I2" s="24" t="s">
        <v>16</v>
      </c>
      <c r="J2" s="15"/>
      <c r="K2" s="2"/>
      <c r="L2">
        <v>19</v>
      </c>
      <c r="O2" t="s">
        <v>6</v>
      </c>
    </row>
    <row r="3" spans="1:30" ht="40.799999999999997" x14ac:dyDescent="0.6">
      <c r="A3" s="38" t="s">
        <v>83</v>
      </c>
      <c r="B3" s="19" t="s">
        <v>35</v>
      </c>
      <c r="C3" s="26">
        <f t="shared" ref="C3:C9" si="1">MAX(0,ROUND(($B$13*F3)-B3,0))</f>
        <v>62</v>
      </c>
      <c r="D3" s="11">
        <f t="shared" si="0"/>
        <v>70</v>
      </c>
      <c r="E3" s="11">
        <f t="shared" ref="E3:E9" si="2">$B$13</f>
        <v>35</v>
      </c>
      <c r="F3" s="11">
        <v>2</v>
      </c>
      <c r="G3" s="11">
        <f t="shared" ref="G3:G9" si="3">7*F3</f>
        <v>14</v>
      </c>
      <c r="H3" s="11">
        <f t="shared" ref="H3:H9" si="4">31*F3</f>
        <v>62</v>
      </c>
      <c r="I3" s="4" t="s">
        <v>30</v>
      </c>
      <c r="J3" s="16"/>
      <c r="K3" s="9"/>
      <c r="O3" t="s">
        <v>8</v>
      </c>
    </row>
    <row r="4" spans="1:30" ht="48.6" x14ac:dyDescent="0.6">
      <c r="A4" s="8" t="s">
        <v>56</v>
      </c>
      <c r="B4" s="19" t="s">
        <v>76</v>
      </c>
      <c r="C4" s="26">
        <f t="shared" si="1"/>
        <v>1</v>
      </c>
      <c r="D4" s="11">
        <f t="shared" si="0"/>
        <v>17.5</v>
      </c>
      <c r="E4" s="11">
        <f t="shared" si="2"/>
        <v>35</v>
      </c>
      <c r="F4" s="11">
        <v>0.5</v>
      </c>
      <c r="G4" s="11">
        <f t="shared" si="3"/>
        <v>3.5</v>
      </c>
      <c r="H4" s="11">
        <f t="shared" si="4"/>
        <v>15.5</v>
      </c>
      <c r="I4" s="4" t="s">
        <v>29</v>
      </c>
      <c r="J4" s="16"/>
      <c r="K4" s="9"/>
    </row>
    <row r="5" spans="1:30" ht="46.8" x14ac:dyDescent="0.4">
      <c r="A5" s="13" t="s">
        <v>33</v>
      </c>
      <c r="B5" s="19" t="s">
        <v>24</v>
      </c>
      <c r="C5" s="26">
        <f t="shared" si="1"/>
        <v>33</v>
      </c>
      <c r="D5" s="11">
        <f t="shared" si="0"/>
        <v>35</v>
      </c>
      <c r="E5" s="11">
        <f t="shared" si="2"/>
        <v>35</v>
      </c>
      <c r="F5" s="11">
        <v>1</v>
      </c>
      <c r="G5" s="11">
        <f t="shared" si="3"/>
        <v>7</v>
      </c>
      <c r="H5" s="11">
        <f t="shared" si="4"/>
        <v>31</v>
      </c>
      <c r="I5" s="13" t="s">
        <v>15</v>
      </c>
      <c r="J5" s="16"/>
      <c r="K5" s="9"/>
    </row>
    <row r="6" spans="1:30" ht="46.8" x14ac:dyDescent="0.45">
      <c r="A6" s="8" t="s">
        <v>94</v>
      </c>
      <c r="B6" s="19" t="s">
        <v>69</v>
      </c>
      <c r="C6" s="26">
        <f t="shared" si="1"/>
        <v>22</v>
      </c>
      <c r="D6" s="11">
        <f t="shared" si="0"/>
        <v>35</v>
      </c>
      <c r="E6" s="11">
        <f t="shared" si="2"/>
        <v>35</v>
      </c>
      <c r="F6" s="11">
        <v>1</v>
      </c>
      <c r="G6" s="11">
        <f t="shared" si="3"/>
        <v>7</v>
      </c>
      <c r="H6" s="11">
        <f t="shared" si="4"/>
        <v>31</v>
      </c>
      <c r="I6" s="8" t="s">
        <v>9</v>
      </c>
      <c r="J6" s="16"/>
      <c r="K6" s="9"/>
    </row>
    <row r="7" spans="1:30" x14ac:dyDescent="0.6">
      <c r="A7" s="4" t="s">
        <v>0</v>
      </c>
      <c r="B7" s="19" t="s">
        <v>24</v>
      </c>
      <c r="C7" s="26">
        <f t="shared" si="1"/>
        <v>33</v>
      </c>
      <c r="D7" s="11">
        <f t="shared" si="0"/>
        <v>35</v>
      </c>
      <c r="E7" s="11">
        <f t="shared" si="2"/>
        <v>35</v>
      </c>
      <c r="F7" s="11">
        <v>1</v>
      </c>
      <c r="G7" s="11">
        <f t="shared" si="3"/>
        <v>7</v>
      </c>
      <c r="H7" s="11">
        <f t="shared" si="4"/>
        <v>31</v>
      </c>
      <c r="I7" s="4" t="s">
        <v>0</v>
      </c>
      <c r="J7" s="16"/>
      <c r="K7" s="9"/>
      <c r="O7" t="s">
        <v>7</v>
      </c>
    </row>
    <row r="8" spans="1:30" ht="46.8" x14ac:dyDescent="0.45">
      <c r="A8" s="8" t="s">
        <v>31</v>
      </c>
      <c r="B8" s="19" t="s">
        <v>28</v>
      </c>
      <c r="C8" s="26">
        <f t="shared" si="1"/>
        <v>28</v>
      </c>
      <c r="D8" s="11">
        <f>ROUND((E8/7)*G8,0)</f>
        <v>35</v>
      </c>
      <c r="E8" s="11">
        <f t="shared" si="2"/>
        <v>35</v>
      </c>
      <c r="F8" s="11">
        <v>1</v>
      </c>
      <c r="G8" s="11">
        <f t="shared" si="3"/>
        <v>7</v>
      </c>
      <c r="H8" s="11">
        <f t="shared" si="4"/>
        <v>31</v>
      </c>
      <c r="I8" s="8" t="s">
        <v>31</v>
      </c>
      <c r="J8" s="16"/>
      <c r="K8" s="9"/>
    </row>
    <row r="9" spans="1:30" ht="31.8" thickBot="1" x14ac:dyDescent="0.65">
      <c r="A9" s="5" t="s">
        <v>14</v>
      </c>
      <c r="B9" s="20" t="s">
        <v>95</v>
      </c>
      <c r="C9" s="26">
        <f t="shared" si="1"/>
        <v>16</v>
      </c>
      <c r="D9" s="11">
        <f>E9*F9</f>
        <v>17.5</v>
      </c>
      <c r="E9" s="11">
        <f t="shared" si="2"/>
        <v>35</v>
      </c>
      <c r="F9" s="11">
        <v>0.5</v>
      </c>
      <c r="G9" s="11">
        <f t="shared" si="3"/>
        <v>3.5</v>
      </c>
      <c r="H9" s="11">
        <f t="shared" si="4"/>
        <v>15.5</v>
      </c>
      <c r="I9" s="5" t="s">
        <v>14</v>
      </c>
      <c r="J9" s="17"/>
      <c r="K9" s="10"/>
    </row>
    <row r="10" spans="1:30" ht="31.8" thickTop="1" x14ac:dyDescent="0.6">
      <c r="A10" s="6"/>
      <c r="I10" s="6"/>
    </row>
    <row r="11" spans="1:30" x14ac:dyDescent="0.6">
      <c r="A11" s="3" t="s">
        <v>5</v>
      </c>
      <c r="B11" s="42">
        <v>45039</v>
      </c>
      <c r="C11" s="42"/>
      <c r="I11" s="3" t="s">
        <v>5</v>
      </c>
      <c r="J11" s="43"/>
      <c r="K11" s="43"/>
      <c r="AD11" s="34"/>
    </row>
    <row r="12" spans="1:30" x14ac:dyDescent="0.6">
      <c r="A12" s="3" t="s">
        <v>37</v>
      </c>
      <c r="B12" s="46">
        <f>B15+(6-WEEKDAY(B15,3))</f>
        <v>45074</v>
      </c>
      <c r="C12" s="46"/>
      <c r="AD12" s="35"/>
    </row>
    <row r="13" spans="1:30" x14ac:dyDescent="0.6">
      <c r="A13" s="3" t="s">
        <v>38</v>
      </c>
      <c r="B13" s="44">
        <f>B12-B11</f>
        <v>35</v>
      </c>
      <c r="C13" s="44"/>
    </row>
    <row r="15" spans="1:30" x14ac:dyDescent="0.6">
      <c r="A15" s="3" t="s">
        <v>45</v>
      </c>
      <c r="B15" s="42">
        <f>DATE(YEAR(B11),MONTH(B11)+1,23)</f>
        <v>45069</v>
      </c>
      <c r="C15" s="42"/>
      <c r="U15" s="34"/>
      <c r="X15" s="39"/>
    </row>
    <row r="16" spans="1:30" x14ac:dyDescent="0.3">
      <c r="A16" s="41">
        <f ca="1">DAY(EOMONTH(B11,0))-DAY(NOW())</f>
        <v>25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1:24" x14ac:dyDescent="0.6">
      <c r="A17" s="3">
        <f ca="1">7-WEEKDAY(NOW(),2)</f>
        <v>5</v>
      </c>
      <c r="B17" s="33">
        <f>DATEDIF(X17,X18,"d")</f>
        <v>30</v>
      </c>
      <c r="X17" s="34">
        <v>44738</v>
      </c>
    </row>
    <row r="18" spans="1:24" x14ac:dyDescent="0.6">
      <c r="B18" s="18">
        <f>B12-B11</f>
        <v>35</v>
      </c>
      <c r="X18" s="34">
        <v>44768</v>
      </c>
    </row>
    <row r="20" spans="1:24" x14ac:dyDescent="0.6">
      <c r="A20" t="str">
        <f>ROUND(C2,0)&amp;" pcs. "&amp;SUBSTITUTE(A2,CHAR(10),"")&amp;", "</f>
        <v xml:space="preserve">51 pcs. Gliclazide MR 60mg (D) (Zeltine MR/Melandy-MR), </v>
      </c>
    </row>
    <row r="21" spans="1:24" x14ac:dyDescent="0.6">
      <c r="A21" t="str">
        <f t="shared" ref="A21:A27" si="5">A20&amp;CHAR(10)&amp;ROUND(C3,0)&amp;" pcs. "&amp;SUBSTITUTE(A3,CHAR(10),"")&amp;", "</f>
        <v xml:space="preserve">51 pcs. Gliclazide MR 60mg (D) (Zeltine MR/Melandy-MR), 
62 pcs. Carvedilol (H) 25mg/tab (BetaCard, Cardipres), </v>
      </c>
    </row>
    <row r="22" spans="1:24" x14ac:dyDescent="0.6">
      <c r="A22" t="str">
        <f t="shared" si="5"/>
        <v xml:space="preserve">51 pcs. Gliclazide MR 60mg (D) (Zeltine MR/Melandy-MR), 
62 pcs. Carvedilol (H) 25mg/tab (BetaCard, Cardipres), 
1 pcs. Subutril-Valsartan(V) 200mgVymada, </v>
      </c>
    </row>
    <row r="23" spans="1:24" x14ac:dyDescent="0.6">
      <c r="A23" t="str">
        <f t="shared" si="5"/>
        <v xml:space="preserve">51 pcs. Gliclazide MR 60mg (D) (Zeltine MR/Melandy-MR), 
62 pcs. Carvedilol (H) 25mg/tab (BetaCard, Cardipres), 
1 pcs. Subutril-Valsartan(V) 200mgVymada, 
33 pcs. Empagliflozin Linagliptin 25mg/10mg(D)(25mg/5mg(D)), </v>
      </c>
    </row>
    <row r="24" spans="1:24" x14ac:dyDescent="0.6">
      <c r="A24" t="str">
        <f t="shared" si="5"/>
        <v xml:space="preserve">51 pcs. Gliclazide MR 60mg (D) (Zeltine MR/Melandy-MR), 
62 pcs. Carvedilol (H) 25mg/tab (BetaCard, Cardipres), 
1 pcs. Subutril-Valsartan(V) 200mgVymada, 
33 pcs. Empagliflozin Linagliptin 25mg/10mg(D)(25mg/5mg(D)), 
22 pcs. Metformin Hydrochloride 1000mg (Proglutrol), </v>
      </c>
    </row>
    <row r="25" spans="1:24" x14ac:dyDescent="0.6">
      <c r="A25" t="str">
        <f t="shared" si="5"/>
        <v xml:space="preserve">51 pcs. Gliclazide MR 60mg (D) (Zeltine MR/Melandy-MR), 
62 pcs. Carvedilol (H) 25mg/tab (BetaCard, Cardipres), 
1 pcs. Subutril-Valsartan(V) 200mgVymada, 
33 pcs. Empagliflozin Linagliptin 25mg/10mg(D)(25mg/5mg(D)), 
22 pcs. Metformin Hydrochloride 1000mg (Proglutrol), 
33 pcs. Aspirin 80mg, </v>
      </c>
    </row>
    <row r="26" spans="1:24" x14ac:dyDescent="0.6">
      <c r="A26" t="str">
        <f t="shared" si="5"/>
        <v xml:space="preserve">51 pcs. Gliclazide MR 60mg (D) (Zeltine MR/Melandy-MR), 
62 pcs. Carvedilol (H) 25mg/tab (BetaCard, Cardipres), 
1 pcs. Subutril-Valsartan(V) 200mgVymada, 
33 pcs. Empagliflozin Linagliptin 25mg/10mg(D)(25mg/5mg(D)), 
22 pcs. Metformin Hydrochloride 1000mg (Proglutrol), 
33 pcs. Aspirin 80mg, 
28 pcs. Rosuvastatin (Rovista/Rosewin) 5mg (MWF), </v>
      </c>
    </row>
    <row r="27" spans="1:24" ht="123" customHeight="1" x14ac:dyDescent="0.3">
      <c r="A27" s="45" t="str">
        <f t="shared" si="5"/>
        <v xml:space="preserve">51 pcs. Gliclazide MR 60mg (D) (Zeltine MR/Melandy-MR), 
62 pcs. Carvedilol (H) 25mg/tab (BetaCard, Cardipres), 
1 pcs. Subutril-Valsartan(V) 200mgVymada, 
33 pcs. Empagliflozin Linagliptin 25mg/10mg(D)(25mg/5mg(D)), 
22 pcs. Metformin Hydrochloride 1000mg (Proglutrol), 
33 pcs. Aspirin 80mg, 
28 pcs. Rosuvastatin (Rovista/Rosewin) 5mg (MWF), 
16 pcs. Spironolactone ½ 50mg (W), </v>
      </c>
      <c r="B27" s="45"/>
      <c r="C27" s="45"/>
      <c r="D27" s="45"/>
      <c r="E27" s="45"/>
      <c r="F27" s="45"/>
      <c r="G27" s="45"/>
      <c r="H27" s="45"/>
      <c r="I27" s="45"/>
    </row>
    <row r="28" spans="1:24" ht="106.5" customHeight="1" x14ac:dyDescent="0.3">
      <c r="A28" s="47" t="s">
        <v>96</v>
      </c>
      <c r="B28" s="47"/>
      <c r="C28" s="47"/>
      <c r="D28" s="47"/>
      <c r="E28" s="47"/>
      <c r="F28" s="47"/>
      <c r="G28" s="47"/>
      <c r="H28" s="47"/>
      <c r="I28" s="47"/>
    </row>
  </sheetData>
  <mergeCells count="8">
    <mergeCell ref="A28:I28"/>
    <mergeCell ref="B11:C11"/>
    <mergeCell ref="J11:K11"/>
    <mergeCell ref="B12:C12"/>
    <mergeCell ref="B13:C13"/>
    <mergeCell ref="B15:C15"/>
    <mergeCell ref="A16:AA16"/>
    <mergeCell ref="A27:I27"/>
  </mergeCells>
  <pageMargins left="0.25" right="0.25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D4C17-FEFB-4B0F-A4F6-21C392093010}">
  <dimension ref="A9:M163"/>
  <sheetViews>
    <sheetView topLeftCell="A140" workbookViewId="0">
      <selection activeCell="D163" sqref="D163"/>
    </sheetView>
  </sheetViews>
  <sheetFormatPr defaultRowHeight="14.4" x14ac:dyDescent="0.3"/>
  <cols>
    <col min="1" max="1" width="52.109375" bestFit="1" customWidth="1"/>
    <col min="4" max="4" width="64.109375" customWidth="1"/>
  </cols>
  <sheetData>
    <row r="9" spans="1:4" x14ac:dyDescent="0.3">
      <c r="A9" t="s">
        <v>34</v>
      </c>
      <c r="B9">
        <v>21</v>
      </c>
      <c r="D9" t="str">
        <f>B9&amp;" pcs. "&amp;A9&amp;", "</f>
        <v xml:space="preserve">21 pcs. Gliclazide MR 60mg (D) (Melandy MR/Zeltine-MR), </v>
      </c>
    </row>
    <row r="10" spans="1:4" x14ac:dyDescent="0.3">
      <c r="A10" t="s">
        <v>39</v>
      </c>
      <c r="B10">
        <v>14</v>
      </c>
      <c r="D10" t="str">
        <f>D9&amp;B10&amp;" pcs. "&amp;A10&amp;", "</f>
        <v xml:space="preserve">21 pcs. Gliclazide MR 60mg (D) (Melandy MR/Zeltine-MR), 14 pcs. Carvedilol (H) 25mg/tab, </v>
      </c>
    </row>
    <row r="11" spans="1:4" x14ac:dyDescent="0.3">
      <c r="A11" t="s">
        <v>40</v>
      </c>
      <c r="B11">
        <v>9</v>
      </c>
      <c r="D11" t="str">
        <f t="shared" ref="D11:D16" si="0">D10&amp;B11&amp;" pcs. "&amp;A11&amp;", "</f>
        <v xml:space="preserve">21 pcs. Gliclazide MR 60mg (D) (Melandy MR/Zeltine-MR), 14 pcs. Carvedilol (H) 25mg/tab, 9 pcs. Subutril-Valsartan(V) 200mg, </v>
      </c>
    </row>
    <row r="12" spans="1:4" x14ac:dyDescent="0.3">
      <c r="A12" t="s">
        <v>41</v>
      </c>
      <c r="B12">
        <v>25</v>
      </c>
      <c r="D12" t="str">
        <f t="shared" si="0"/>
        <v xml:space="preserve">21 pcs. Gliclazide MR 60mg (D) (Melandy MR/Zeltine-MR), 14 pcs. Carvedilol (H) 25mg/tab, 9 pcs. Subutril-Valsartan(V) 200mg, 25 pcs. Empagliflozin Linagliptin 
25mg/10mg(D)(25mg/5mg(D)), </v>
      </c>
    </row>
    <row r="13" spans="1:4" x14ac:dyDescent="0.3">
      <c r="A13" t="s">
        <v>9</v>
      </c>
      <c r="B13">
        <v>60</v>
      </c>
      <c r="D13" t="str">
        <f t="shared" si="0"/>
        <v xml:space="preserve">21 pcs. Gliclazide MR 60mg (D) (Melandy MR/Zeltine-MR), 14 pcs. Carvedilol (H) 25mg/tab, 9 pcs. Subutril-Valsartan(V) 200mg, 25 pcs. Empagliflozin Linagliptin 
25mg/10mg(D)(25mg/5mg(D)), 60 pcs. Metformin Hydrochloride 1000mg (Fornidd XR), </v>
      </c>
    </row>
    <row r="14" spans="1:4" x14ac:dyDescent="0.3">
      <c r="A14" t="s">
        <v>0</v>
      </c>
      <c r="B14">
        <v>22</v>
      </c>
      <c r="D14" t="str">
        <f t="shared" si="0"/>
        <v xml:space="preserve">21 pcs. Gliclazide MR 60mg (D) (Melandy MR/Zeltine-MR), 14 pcs. Carvedilol (H) 25mg/tab, 9 pcs. Subutril-Valsartan(V) 200mg, 25 pcs. Empagliflozin Linagliptin 
25mg/10mg(D)(25mg/5mg(D)), 60 pcs. Metformin Hydrochloride 1000mg (Fornidd XR), 22 pcs. Aspirin 80mg, </v>
      </c>
    </row>
    <row r="15" spans="1:4" x14ac:dyDescent="0.3">
      <c r="A15" t="s">
        <v>42</v>
      </c>
      <c r="B15">
        <v>10</v>
      </c>
      <c r="D15" t="str">
        <f t="shared" si="0"/>
        <v xml:space="preserve">21 pcs. Gliclazide MR 60mg (D) (Melandy MR/Zeltine-MR), 14 pcs. Carvedilol (H) 25mg/tab, 9 pcs. Subutril-Valsartan(V) 200mg, 25 pcs. Empagliflozin Linagliptin 
25mg/10mg(D)(25mg/5mg(D)), 60 pcs. Metformin Hydrochloride 1000mg (Fornidd XR), 22 pcs. Aspirin 80mg, 10 pcs. Rosuvastatin (Rovista/Rosewin) 
5mg (MWF), </v>
      </c>
    </row>
    <row r="16" spans="1:4" x14ac:dyDescent="0.3">
      <c r="A16" t="s">
        <v>43</v>
      </c>
      <c r="B16">
        <v>12</v>
      </c>
      <c r="D16" t="str">
        <f t="shared" si="0"/>
        <v xml:space="preserve">21 pcs. Gliclazide MR 60mg (D) (Melandy MR/Zeltine-MR), 14 pcs. Carvedilol (H) 25mg/tab, 9 pcs. Subutril-Valsartan(V) 200mg, 25 pcs. Empagliflozin Linagliptin 
25mg/10mg(D)(25mg/5mg(D)), 60 pcs. Metformin Hydrochloride 1000mg (Fornidd XR), 22 pcs. Aspirin 80mg, 10 pcs. Rosuvastatin (Rovista/Rosewin) 
5mg (MWF), 12 pcs. Spironolactone ½ 50mg (W), </v>
      </c>
    </row>
    <row r="18" spans="1:13" ht="120" customHeight="1" x14ac:dyDescent="0.3">
      <c r="A18" s="48" t="s">
        <v>44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</row>
    <row r="21" spans="1:13" x14ac:dyDescent="0.3">
      <c r="A21" t="s">
        <v>34</v>
      </c>
      <c r="B21">
        <v>29</v>
      </c>
      <c r="D21" t="str">
        <f>B21&amp;" pcs. "&amp;A21&amp;", "</f>
        <v xml:space="preserve">29 pcs. Gliclazide MR 60mg (D) (Melandy MR/Zeltine-MR), </v>
      </c>
    </row>
    <row r="22" spans="1:13" x14ac:dyDescent="0.3">
      <c r="A22" t="s">
        <v>39</v>
      </c>
      <c r="B22">
        <v>26</v>
      </c>
      <c r="D22" t="str">
        <f>D21&amp;CHAR(10)&amp;CHAR(13)&amp;B22&amp;" pcs. "&amp;A22&amp;", "</f>
        <v xml:space="preserve">29 pcs. Gliclazide MR 60mg (D) (Melandy MR/Zeltine-MR), 
_x000D_26 pcs. Carvedilol (H) 25mg/tab, </v>
      </c>
    </row>
    <row r="23" spans="1:13" x14ac:dyDescent="0.3">
      <c r="A23" t="s">
        <v>41</v>
      </c>
      <c r="B23">
        <v>30</v>
      </c>
      <c r="D23" t="str">
        <f t="shared" ref="D23:D27" si="1">D22&amp;CHAR(10)&amp;CHAR(13)&amp;B23&amp;" pcs. "&amp;A23&amp;", "</f>
        <v xml:space="preserve">29 pcs. Gliclazide MR 60mg (D) (Melandy MR/Zeltine-MR), 
_x000D_26 pcs. Carvedilol (H) 25mg/tab, 
_x000D_30 pcs. Empagliflozin Linagliptin 
25mg/10mg(D)(25mg/5mg(D)), </v>
      </c>
    </row>
    <row r="24" spans="1:13" x14ac:dyDescent="0.3">
      <c r="A24" t="s">
        <v>9</v>
      </c>
      <c r="B24">
        <v>40</v>
      </c>
      <c r="D24" t="str">
        <f t="shared" si="1"/>
        <v xml:space="preserve">29 pcs. Gliclazide MR 60mg (D) (Melandy MR/Zeltine-MR), 
_x000D_26 pcs. Carvedilol (H) 25mg/tab, 
_x000D_30 pcs. Empagliflozin Linagliptin 
25mg/10mg(D)(25mg/5mg(D)), 
_x000D_40 pcs. Metformin Hydrochloride 1000mg (Fornidd XR), </v>
      </c>
    </row>
    <row r="25" spans="1:13" x14ac:dyDescent="0.3">
      <c r="A25" t="s">
        <v>0</v>
      </c>
      <c r="B25">
        <v>29</v>
      </c>
      <c r="D25" t="str">
        <f t="shared" si="1"/>
        <v xml:space="preserve">29 pcs. Gliclazide MR 60mg (D) (Melandy MR/Zeltine-MR), 
_x000D_26 pcs. Carvedilol (H) 25mg/tab, 
_x000D_30 pcs. Empagliflozin Linagliptin 
25mg/10mg(D)(25mg/5mg(D)), 
_x000D_40 pcs. Metformin Hydrochloride 1000mg (Fornidd XR), 
_x000D_29 pcs. Aspirin 80mg, </v>
      </c>
    </row>
    <row r="26" spans="1:13" x14ac:dyDescent="0.3">
      <c r="A26" t="s">
        <v>42</v>
      </c>
      <c r="B26">
        <v>13</v>
      </c>
      <c r="D26" t="str">
        <f t="shared" si="1"/>
        <v xml:space="preserve">29 pcs. Gliclazide MR 60mg (D) (Melandy MR/Zeltine-MR), 
_x000D_26 pcs. Carvedilol (H) 25mg/tab, 
_x000D_30 pcs. Empagliflozin Linagliptin 
25mg/10mg(D)(25mg/5mg(D)), 
_x000D_40 pcs. Metformin Hydrochloride 1000mg (Fornidd XR), 
_x000D_29 pcs. Aspirin 80mg, 
_x000D_13 pcs. Rosuvastatin (Rovista/Rosewin) 
5mg (MWF), </v>
      </c>
    </row>
    <row r="27" spans="1:13" x14ac:dyDescent="0.3">
      <c r="A27" t="s">
        <v>43</v>
      </c>
      <c r="B27">
        <v>13</v>
      </c>
      <c r="D27" t="str">
        <f t="shared" si="1"/>
        <v xml:space="preserve">29 pcs. Gliclazide MR 60mg (D) (Melandy MR/Zeltine-MR), 
_x000D_26 pcs. Carvedilol (H) 25mg/tab, 
_x000D_30 pcs. Empagliflozin Linagliptin 
25mg/10mg(D)(25mg/5mg(D)), 
_x000D_40 pcs. Metformin Hydrochloride 1000mg (Fornidd XR), 
_x000D_29 pcs. Aspirin 80mg, 
_x000D_13 pcs. Rosuvastatin (Rovista/Rosewin) 
5mg (MWF), 
_x000D_13 pcs. Spironolactone ½ 50mg (W), </v>
      </c>
    </row>
    <row r="28" spans="1:13" x14ac:dyDescent="0.3">
      <c r="D28" t="s">
        <v>46</v>
      </c>
    </row>
    <row r="29" spans="1:13" ht="147.75" customHeight="1" x14ac:dyDescent="0.3">
      <c r="D29" s="48" t="s">
        <v>54</v>
      </c>
      <c r="E29" s="48"/>
      <c r="F29" s="48"/>
      <c r="G29" s="48"/>
      <c r="H29" s="48"/>
      <c r="I29" s="48"/>
      <c r="J29" s="48"/>
    </row>
    <row r="31" spans="1:13" x14ac:dyDescent="0.3">
      <c r="D31" s="48"/>
      <c r="E31" s="48"/>
      <c r="F31" s="48"/>
      <c r="G31" s="48"/>
      <c r="H31" s="48"/>
      <c r="I31" s="48"/>
      <c r="J31" s="48"/>
    </row>
    <row r="33" spans="1:4" x14ac:dyDescent="0.3">
      <c r="D33" t="s">
        <v>47</v>
      </c>
    </row>
    <row r="34" spans="1:4" x14ac:dyDescent="0.3">
      <c r="D34" t="s">
        <v>48</v>
      </c>
    </row>
    <row r="35" spans="1:4" x14ac:dyDescent="0.3">
      <c r="D35" t="s">
        <v>49</v>
      </c>
    </row>
    <row r="36" spans="1:4" x14ac:dyDescent="0.3">
      <c r="D36" t="s">
        <v>50</v>
      </c>
    </row>
    <row r="37" spans="1:4" x14ac:dyDescent="0.3">
      <c r="D37" t="s">
        <v>51</v>
      </c>
    </row>
    <row r="38" spans="1:4" x14ac:dyDescent="0.3">
      <c r="D38" t="s">
        <v>52</v>
      </c>
    </row>
    <row r="39" spans="1:4" x14ac:dyDescent="0.3">
      <c r="D39" t="s">
        <v>55</v>
      </c>
    </row>
    <row r="40" spans="1:4" x14ac:dyDescent="0.3">
      <c r="D40" t="s">
        <v>53</v>
      </c>
    </row>
    <row r="41" spans="1:4" x14ac:dyDescent="0.3">
      <c r="A41" s="36">
        <v>44766</v>
      </c>
    </row>
    <row r="42" spans="1:4" x14ac:dyDescent="0.3">
      <c r="A42" t="s">
        <v>34</v>
      </c>
      <c r="B42">
        <v>29</v>
      </c>
      <c r="D42" t="str">
        <f>B42&amp;" pcs. "&amp;A42&amp;", "</f>
        <v xml:space="preserve">29 pcs. Gliclazide MR 60mg (D) (Melandy MR/Zeltine-MR), </v>
      </c>
    </row>
    <row r="43" spans="1:4" x14ac:dyDescent="0.3">
      <c r="A43" t="s">
        <v>57</v>
      </c>
      <c r="B43">
        <v>0</v>
      </c>
      <c r="D43" t="str">
        <f>D42&amp;CHAR(10)&amp;B43&amp;" pcs. "&amp;A43&amp;", "</f>
        <v xml:space="preserve">29 pcs. Gliclazide MR 60mg (D) (Melandy MR/Zeltine-MR), 
0 pcs. Omacor 460mg/380mg (B), </v>
      </c>
    </row>
    <row r="44" spans="1:4" x14ac:dyDescent="0.3">
      <c r="A44" t="s">
        <v>39</v>
      </c>
      <c r="B44">
        <v>29</v>
      </c>
      <c r="D44" t="str">
        <f t="shared" ref="D44:D50" si="2">D43&amp;CHAR(10)&amp;B44&amp;" pcs. "&amp;A44&amp;", "</f>
        <v xml:space="preserve">29 pcs. Gliclazide MR 60mg (D) (Melandy MR/Zeltine-MR), 
0 pcs. Omacor 460mg/380mg (B), 
29 pcs. Carvedilol (H) 25mg/tab, </v>
      </c>
    </row>
    <row r="45" spans="1:4" x14ac:dyDescent="0.3">
      <c r="A45" t="s">
        <v>58</v>
      </c>
      <c r="B45">
        <v>12</v>
      </c>
      <c r="D45" t="str">
        <f t="shared" si="2"/>
        <v xml:space="preserve">29 pcs. Gliclazide MR 60mg (D) (Melandy MR/Zeltine-MR), 
0 pcs. Omacor 460mg/380mg (B), 
29 pcs. Carvedilol (H) 25mg/tab, 
12 pcs. Subutril-Valsartan(V) 200mg
Vymada, </v>
      </c>
    </row>
    <row r="46" spans="1:4" x14ac:dyDescent="0.3">
      <c r="A46" t="s">
        <v>41</v>
      </c>
      <c r="B46">
        <v>35</v>
      </c>
      <c r="D46" t="str">
        <f t="shared" si="2"/>
        <v xml:space="preserve">29 pcs. Gliclazide MR 60mg (D) (Melandy MR/Zeltine-MR), 
0 pcs. Omacor 460mg/380mg (B), 
29 pcs. Carvedilol (H) 25mg/tab, 
12 pcs. Subutril-Valsartan(V) 200mg
Vymada, 
35 pcs. Empagliflozin Linagliptin 
25mg/10mg(D)(25mg/5mg(D)), </v>
      </c>
    </row>
    <row r="47" spans="1:4" x14ac:dyDescent="0.3">
      <c r="A47" t="s">
        <v>9</v>
      </c>
      <c r="B47">
        <v>57</v>
      </c>
      <c r="D47" t="str">
        <f t="shared" si="2"/>
        <v xml:space="preserve">29 pcs. Gliclazide MR 60mg (D) (Melandy MR/Zeltine-MR), 
0 pcs. Omacor 460mg/380mg (B), 
29 pcs. Carvedilol (H) 25mg/tab, 
12 pcs. Subutril-Valsartan(V) 200mg
Vymada, 
35 pcs. Empagliflozin Linagliptin 
25mg/10mg(D)(25mg/5mg(D)), 
57 pcs. Metformin Hydrochloride 1000mg (Fornidd XR), </v>
      </c>
    </row>
    <row r="48" spans="1:4" x14ac:dyDescent="0.3">
      <c r="A48" t="s">
        <v>0</v>
      </c>
      <c r="B48">
        <v>35</v>
      </c>
      <c r="D48" t="str">
        <f t="shared" si="2"/>
        <v xml:space="preserve">29 pcs. Gliclazide MR 60mg (D) (Melandy MR/Zeltine-MR), 
0 pcs. Omacor 460mg/380mg (B), 
29 pcs. Carvedilol (H) 25mg/tab, 
12 pcs. Subutril-Valsartan(V) 200mg
Vymada, 
35 pcs. Empagliflozin Linagliptin 
25mg/10mg(D)(25mg/5mg(D)), 
57 pcs. Metformin Hydrochloride 1000mg (Fornidd XR), 
35 pcs. Aspirin 80mg, </v>
      </c>
    </row>
    <row r="49" spans="1:10" x14ac:dyDescent="0.3">
      <c r="A49" t="s">
        <v>42</v>
      </c>
      <c r="B49">
        <v>14</v>
      </c>
      <c r="D49" t="str">
        <f t="shared" si="2"/>
        <v xml:space="preserve">29 pcs. Gliclazide MR 60mg (D) (Melandy MR/Zeltine-MR), 
0 pcs. Omacor 460mg/380mg (B), 
29 pcs. Carvedilol (H) 25mg/tab, 
12 pcs. Subutril-Valsartan(V) 200mg
Vymada, 
35 pcs. Empagliflozin Linagliptin 
25mg/10mg(D)(25mg/5mg(D)), 
57 pcs. Metformin Hydrochloride 1000mg (Fornidd XR), 
35 pcs. Aspirin 80mg, 
14 pcs. Rosuvastatin (Rovista/Rosewin) 
5mg (MWF), </v>
      </c>
    </row>
    <row r="50" spans="1:10" x14ac:dyDescent="0.3">
      <c r="A50" t="s">
        <v>43</v>
      </c>
      <c r="B50">
        <v>16</v>
      </c>
      <c r="D50" t="str">
        <f t="shared" si="2"/>
        <v xml:space="preserve">29 pcs. Gliclazide MR 60mg (D) (Melandy MR/Zeltine-MR), 
0 pcs. Omacor 460mg/380mg (B), 
29 pcs. Carvedilol (H) 25mg/tab, 
12 pcs. Subutril-Valsartan(V) 200mg
Vymada, 
35 pcs. Empagliflozin Linagliptin 
25mg/10mg(D)(25mg/5mg(D)), 
57 pcs. Metformin Hydrochloride 1000mg (Fornidd XR), 
35 pcs. Aspirin 80mg, 
14 pcs. Rosuvastatin (Rovista/Rosewin) 
5mg (MWF), 
16 pcs. Spironolactone ½ 50mg (W), </v>
      </c>
    </row>
    <row r="51" spans="1:10" ht="100.8" x14ac:dyDescent="0.3">
      <c r="D51" s="37" t="s">
        <v>63</v>
      </c>
      <c r="E51" s="37"/>
      <c r="F51" s="37"/>
      <c r="G51" s="37"/>
      <c r="H51" s="37"/>
      <c r="I51" s="37"/>
      <c r="J51" s="37"/>
    </row>
    <row r="53" spans="1:10" x14ac:dyDescent="0.3">
      <c r="D53" s="48"/>
      <c r="E53" s="48"/>
      <c r="F53" s="48"/>
      <c r="G53" s="48"/>
      <c r="H53" s="48"/>
      <c r="I53" s="48"/>
      <c r="J53" s="48"/>
    </row>
    <row r="54" spans="1:10" x14ac:dyDescent="0.3">
      <c r="D54" t="s">
        <v>47</v>
      </c>
    </row>
    <row r="55" spans="1:10" x14ac:dyDescent="0.3">
      <c r="D55" t="s">
        <v>59</v>
      </c>
    </row>
    <row r="56" spans="1:10" x14ac:dyDescent="0.3">
      <c r="D56" t="s">
        <v>64</v>
      </c>
    </row>
    <row r="57" spans="1:10" x14ac:dyDescent="0.3">
      <c r="D57" t="s">
        <v>60</v>
      </c>
    </row>
    <row r="58" spans="1:10" x14ac:dyDescent="0.3">
      <c r="D58" t="s">
        <v>61</v>
      </c>
    </row>
    <row r="59" spans="1:10" x14ac:dyDescent="0.3">
      <c r="D59" t="s">
        <v>65</v>
      </c>
    </row>
    <row r="60" spans="1:10" x14ac:dyDescent="0.3">
      <c r="D60" t="s">
        <v>62</v>
      </c>
    </row>
    <row r="62" spans="1:10" x14ac:dyDescent="0.3">
      <c r="A62" t="s">
        <v>9</v>
      </c>
      <c r="B62">
        <v>37</v>
      </c>
      <c r="D62" t="str">
        <f>B62&amp;" pcs. "&amp;A62&amp;", "</f>
        <v xml:space="preserve">37 pcs. Metformin Hydrochloride 1000mg (Fornidd XR), </v>
      </c>
    </row>
    <row r="63" spans="1:10" x14ac:dyDescent="0.3">
      <c r="A63" t="s">
        <v>43</v>
      </c>
      <c r="B63">
        <v>8</v>
      </c>
      <c r="D63" t="str">
        <f>D62&amp;CHAR(10)&amp;B63&amp;" pcs. "&amp;A63&amp;", "</f>
        <v xml:space="preserve">37 pcs. Metformin Hydrochloride 1000mg (Fornidd XR), 
8 pcs. Spironolactone ½ 50mg (W), </v>
      </c>
    </row>
    <row r="65" spans="1:4" ht="28.8" x14ac:dyDescent="0.3">
      <c r="D65" s="37" t="s">
        <v>66</v>
      </c>
    </row>
    <row r="67" spans="1:4" x14ac:dyDescent="0.3">
      <c r="D67" t="s">
        <v>67</v>
      </c>
    </row>
    <row r="68" spans="1:4" x14ac:dyDescent="0.3">
      <c r="D68" t="s">
        <v>68</v>
      </c>
    </row>
    <row r="71" spans="1:4" x14ac:dyDescent="0.3">
      <c r="A71" t="s">
        <v>34</v>
      </c>
      <c r="B71">
        <v>29</v>
      </c>
      <c r="D71" t="str">
        <f>B71&amp;" pcs. "&amp;A71&amp;", "</f>
        <v xml:space="preserve">29 pcs. Gliclazide MR 60mg (D) (Melandy MR/Zeltine-MR), </v>
      </c>
    </row>
    <row r="72" spans="1:4" x14ac:dyDescent="0.3">
      <c r="A72" t="s">
        <v>70</v>
      </c>
      <c r="B72">
        <v>25</v>
      </c>
      <c r="D72" t="str">
        <f>D71&amp;CHAR(10)&amp;B72&amp;" pcs. "&amp;A72&amp;", "</f>
        <v xml:space="preserve">29 pcs. Gliclazide MR 60mg (D) (Melandy MR/Zeltine-MR), 
25 pcs. Carvedilol (H) 25mg/tab (Cardipres), </v>
      </c>
    </row>
    <row r="73" spans="1:4" x14ac:dyDescent="0.3">
      <c r="A73" t="s">
        <v>41</v>
      </c>
      <c r="B73">
        <v>28</v>
      </c>
      <c r="D73" t="str">
        <f t="shared" ref="D73:D79" si="3">D72&amp;CHAR(10)&amp;B73&amp;" pcs. "&amp;A73&amp;", "</f>
        <v xml:space="preserve">29 pcs. Gliclazide MR 60mg (D) (Melandy MR/Zeltine-MR), 
25 pcs. Carvedilol (H) 25mg/tab (Cardipres), 
28 pcs. Empagliflozin Linagliptin 
25mg/10mg(D)(25mg/5mg(D)), </v>
      </c>
    </row>
    <row r="74" spans="1:4" x14ac:dyDescent="0.3">
      <c r="A74" t="s">
        <v>9</v>
      </c>
      <c r="B74">
        <v>49</v>
      </c>
      <c r="D74" t="str">
        <f t="shared" si="3"/>
        <v xml:space="preserve">29 pcs. Gliclazide MR 60mg (D) (Melandy MR/Zeltine-MR), 
25 pcs. Carvedilol (H) 25mg/tab (Cardipres), 
28 pcs. Empagliflozin Linagliptin 
25mg/10mg(D)(25mg/5mg(D)), 
49 pcs. Metformin Hydrochloride 1000mg (Fornidd XR), </v>
      </c>
    </row>
    <row r="75" spans="1:4" x14ac:dyDescent="0.3">
      <c r="A75" t="s">
        <v>0</v>
      </c>
      <c r="B75">
        <v>27</v>
      </c>
      <c r="D75" t="str">
        <f t="shared" si="3"/>
        <v xml:space="preserve">29 pcs. Gliclazide MR 60mg (D) (Melandy MR/Zeltine-MR), 
25 pcs. Carvedilol (H) 25mg/tab (Cardipres), 
28 pcs. Empagliflozin Linagliptin 
25mg/10mg(D)(25mg/5mg(D)), 
49 pcs. Metformin Hydrochloride 1000mg (Fornidd XR), 
27 pcs. Aspirin 80mg, </v>
      </c>
    </row>
    <row r="76" spans="1:4" x14ac:dyDescent="0.3">
      <c r="A76" t="s">
        <v>42</v>
      </c>
      <c r="B76">
        <v>12.285714285714286</v>
      </c>
      <c r="D76" t="str">
        <f t="shared" si="3"/>
        <v xml:space="preserve">29 pcs. Gliclazide MR 60mg (D) (Melandy MR/Zeltine-MR), 
25 pcs. Carvedilol (H) 25mg/tab (Cardipres), 
28 pcs. Empagliflozin Linagliptin 
25mg/10mg(D)(25mg/5mg(D)), 
49 pcs. Metformin Hydrochloride 1000mg (Fornidd XR), 
27 pcs. Aspirin 80mg, 
12.2857142857143 pcs. Rosuvastatin (Rovista/Rosewin) 
5mg (MWF), </v>
      </c>
    </row>
    <row r="77" spans="1:4" x14ac:dyDescent="0.3">
      <c r="A77" t="s">
        <v>43</v>
      </c>
      <c r="B77">
        <v>13</v>
      </c>
      <c r="D77" t="str">
        <f t="shared" si="3"/>
        <v xml:space="preserve">29 pcs. Gliclazide MR 60mg (D) (Melandy MR/Zeltine-MR), 
25 pcs. Carvedilol (H) 25mg/tab (Cardipres), 
28 pcs. Empagliflozin Linagliptin 
25mg/10mg(D)(25mg/5mg(D)), 
49 pcs. Metformin Hydrochloride 1000mg (Fornidd XR), 
27 pcs. Aspirin 80mg, 
12.2857142857143 pcs. Rosuvastatin (Rovista/Rosewin) 
5mg (MWF), 
13 pcs. Spironolactone ½ 50mg (W), </v>
      </c>
    </row>
    <row r="78" spans="1:4" x14ac:dyDescent="0.3">
      <c r="D78" t="str">
        <f t="shared" si="3"/>
        <v xml:space="preserve">29 pcs. Gliclazide MR 60mg (D) (Melandy MR/Zeltine-MR), 
25 pcs. Carvedilol (H) 25mg/tab (Cardipres), 
28 pcs. Empagliflozin Linagliptin 
25mg/10mg(D)(25mg/5mg(D)), 
49 pcs. Metformin Hydrochloride 1000mg (Fornidd XR), 
27 pcs. Aspirin 80mg, 
12.2857142857143 pcs. Rosuvastatin (Rovista/Rosewin) 
5mg (MWF), 
13 pcs. Spironolactone ½ 50mg (W), 
 pcs. , </v>
      </c>
    </row>
    <row r="79" spans="1:4" x14ac:dyDescent="0.3">
      <c r="D79" t="str">
        <f t="shared" si="3"/>
        <v xml:space="preserve">29 pcs. Gliclazide MR 60mg (D) (Melandy MR/Zeltine-MR), 
25 pcs. Carvedilol (H) 25mg/tab (Cardipres), 
28 pcs. Empagliflozin Linagliptin 
25mg/10mg(D)(25mg/5mg(D)), 
49 pcs. Metformin Hydrochloride 1000mg (Fornidd XR), 
27 pcs. Aspirin 80mg, 
12.2857142857143 pcs. Rosuvastatin (Rovista/Rosewin) 
5mg (MWF), 
13 pcs. Spironolactone ½ 50mg (W), 
 pcs. , 
 pcs. , </v>
      </c>
    </row>
    <row r="81" spans="1:5" ht="135" customHeight="1" x14ac:dyDescent="0.3">
      <c r="D81" s="48" t="s">
        <v>71</v>
      </c>
      <c r="E81" s="48"/>
    </row>
    <row r="83" spans="1:5" x14ac:dyDescent="0.3">
      <c r="A83" s="37" t="s">
        <v>34</v>
      </c>
      <c r="B83">
        <v>28</v>
      </c>
      <c r="D83" t="str">
        <f>ROUND(B83,0)&amp;" pcs. "&amp;SUBSTITUTE(A83,CHAR(10),"")&amp;", "</f>
        <v xml:space="preserve">28 pcs. Gliclazide MR 60mg (D) (Melandy MR/Zeltine-MR), </v>
      </c>
    </row>
    <row r="84" spans="1:5" x14ac:dyDescent="0.3">
      <c r="A84" s="37" t="s">
        <v>70</v>
      </c>
      <c r="B84">
        <v>28</v>
      </c>
      <c r="D84" t="str">
        <f>D83&amp;CHAR(10)&amp;ROUND(B84,0)&amp;" pcs. "&amp;SUBSTITUTE(A84,CHAR(10),"")&amp;", "</f>
        <v xml:space="preserve">28 pcs. Gliclazide MR 60mg (D) (Melandy MR/Zeltine-MR), 
28 pcs. Carvedilol (H) 25mg/tab (Cardipres), </v>
      </c>
    </row>
    <row r="85" spans="1:5" ht="28.8" x14ac:dyDescent="0.3">
      <c r="A85" s="37" t="s">
        <v>58</v>
      </c>
      <c r="B85">
        <v>15.5</v>
      </c>
      <c r="D85" t="str">
        <f t="shared" ref="D85:D90" si="4">D84&amp;CHAR(10)&amp;ROUND(B85,0)&amp;" pcs. "&amp;SUBSTITUTE(A85,CHAR(10),"")&amp;", "</f>
        <v xml:space="preserve">28 pcs. Gliclazide MR 60mg (D) (Melandy MR/Zeltine-MR), 
28 pcs. Carvedilol (H) 25mg/tab (Cardipres), 
16 pcs. Subutril-Valsartan(V) 200mgVymada, </v>
      </c>
    </row>
    <row r="86" spans="1:5" ht="28.8" x14ac:dyDescent="0.3">
      <c r="A86" s="37" t="s">
        <v>41</v>
      </c>
      <c r="B86">
        <v>27</v>
      </c>
      <c r="D86" t="str">
        <f t="shared" si="4"/>
        <v xml:space="preserve">28 pcs. Gliclazide MR 60mg (D) (Melandy MR/Zeltine-MR), 
28 pcs. Carvedilol (H) 25mg/tab (Cardipres), 
16 pcs. Subutril-Valsartan(V) 200mgVymada, 
27 pcs. Empagliflozin Linagliptin 25mg/10mg(D)(25mg/5mg(D)), </v>
      </c>
    </row>
    <row r="87" spans="1:5" x14ac:dyDescent="0.3">
      <c r="A87" s="37" t="s">
        <v>9</v>
      </c>
      <c r="B87">
        <v>53</v>
      </c>
      <c r="D87" t="str">
        <f t="shared" si="4"/>
        <v xml:space="preserve">28 pcs. Gliclazide MR 60mg (D) (Melandy MR/Zeltine-MR), 
28 pcs. Carvedilol (H) 25mg/tab (Cardipres), 
16 pcs. Subutril-Valsartan(V) 200mgVymada, 
27 pcs. Empagliflozin Linagliptin 25mg/10mg(D)(25mg/5mg(D)), 
53 pcs. Metformin Hydrochloride 1000mg (Fornidd XR), </v>
      </c>
    </row>
    <row r="88" spans="1:5" x14ac:dyDescent="0.3">
      <c r="A88" s="37" t="s">
        <v>0</v>
      </c>
      <c r="B88">
        <v>28</v>
      </c>
      <c r="D88" t="str">
        <f t="shared" si="4"/>
        <v xml:space="preserve">28 pcs. Gliclazide MR 60mg (D) (Melandy MR/Zeltine-MR), 
28 pcs. Carvedilol (H) 25mg/tab (Cardipres), 
16 pcs. Subutril-Valsartan(V) 200mgVymada, 
27 pcs. Empagliflozin Linagliptin 25mg/10mg(D)(25mg/5mg(D)), 
53 pcs. Metformin Hydrochloride 1000mg (Fornidd XR), 
28 pcs. Aspirin 80mg, </v>
      </c>
    </row>
    <row r="89" spans="1:5" ht="28.8" x14ac:dyDescent="0.3">
      <c r="A89" s="37" t="s">
        <v>42</v>
      </c>
      <c r="B89">
        <v>11.285714285714286</v>
      </c>
      <c r="D89" t="str">
        <f t="shared" si="4"/>
        <v xml:space="preserve">28 pcs. Gliclazide MR 60mg (D) (Melandy MR/Zeltine-MR), 
28 pcs. Carvedilol (H) 25mg/tab (Cardipres), 
16 pcs. Subutril-Valsartan(V) 200mgVymada, 
27 pcs. Empagliflozin Linagliptin 25mg/10mg(D)(25mg/5mg(D)), 
53 pcs. Metformin Hydrochloride 1000mg (Fornidd XR), 
28 pcs. Aspirin 80mg, 
11 pcs. Rosuvastatin (Rovista/Rosewin) 5mg (MWF), </v>
      </c>
    </row>
    <row r="90" spans="1:5" x14ac:dyDescent="0.3">
      <c r="A90" s="37" t="s">
        <v>43</v>
      </c>
      <c r="B90">
        <v>14</v>
      </c>
      <c r="D90" t="str">
        <f t="shared" si="4"/>
        <v xml:space="preserve">28 pcs. Gliclazide MR 60mg (D) (Melandy MR/Zeltine-MR), 
28 pcs. Carvedilol (H) 25mg/tab (Cardipres), 
16 pcs. Subutril-Valsartan(V) 200mgVymada, 
27 pcs. Empagliflozin Linagliptin 25mg/10mg(D)(25mg/5mg(D)), 
53 pcs. Metformin Hydrochloride 1000mg (Fornidd XR), 
28 pcs. Aspirin 80mg, 
11 pcs. Rosuvastatin (Rovista/Rosewin) 5mg (MWF), 
14 pcs. Spironolactone ½ 50mg (W), </v>
      </c>
    </row>
    <row r="92" spans="1:5" ht="100.8" x14ac:dyDescent="0.3">
      <c r="A92" s="37"/>
      <c r="D92" s="37" t="s">
        <v>73</v>
      </c>
    </row>
    <row r="93" spans="1:5" x14ac:dyDescent="0.3">
      <c r="A93" s="37"/>
    </row>
    <row r="94" spans="1:5" x14ac:dyDescent="0.3">
      <c r="A94" s="37"/>
    </row>
    <row r="95" spans="1:5" ht="39" customHeight="1" x14ac:dyDescent="0.3">
      <c r="A95" s="37"/>
    </row>
    <row r="96" spans="1:5" x14ac:dyDescent="0.3">
      <c r="A96" s="37" t="s">
        <v>9</v>
      </c>
      <c r="B96">
        <v>51</v>
      </c>
      <c r="D96" t="str">
        <f>ROUND(B96,0)&amp;" pcs. "&amp;SUBSTITUTE(A96,CHAR(10),"")&amp;", "</f>
        <v xml:space="preserve">51 pcs. Metformin Hydrochloride 1000mg (Fornidd XR), </v>
      </c>
    </row>
    <row r="97" spans="1:4" x14ac:dyDescent="0.3">
      <c r="A97" s="37" t="s">
        <v>43</v>
      </c>
      <c r="B97">
        <v>13.5</v>
      </c>
      <c r="D97" t="str">
        <f>D96&amp;CHAR(10)&amp;ROUND(B97,0)&amp;" pcs. "&amp;SUBSTITUTE(A97,CHAR(10),"")&amp;", "</f>
        <v xml:space="preserve">51 pcs. Metformin Hydrochloride 1000mg (Fornidd XR), 
14 pcs. Spironolactone ½ 50mg (W), </v>
      </c>
    </row>
    <row r="98" spans="1:4" x14ac:dyDescent="0.3">
      <c r="A98" s="37"/>
    </row>
    <row r="99" spans="1:4" ht="28.8" x14ac:dyDescent="0.3">
      <c r="A99" s="37"/>
      <c r="D99" s="37" t="s">
        <v>74</v>
      </c>
    </row>
    <row r="101" spans="1:4" x14ac:dyDescent="0.3">
      <c r="A101" t="s">
        <v>34</v>
      </c>
      <c r="B101">
        <v>35</v>
      </c>
      <c r="D101" t="str">
        <f>ROUND(B101,0)&amp;" pcs. "&amp;SUBSTITUTE(A101,CHAR(10),"")&amp;", "</f>
        <v xml:space="preserve">35 pcs. Gliclazide MR 60mg (D) (Melandy MR/Zeltine-MR), </v>
      </c>
    </row>
    <row r="102" spans="1:4" x14ac:dyDescent="0.3">
      <c r="A102" t="s">
        <v>70</v>
      </c>
      <c r="B102">
        <v>31</v>
      </c>
      <c r="D102" t="str">
        <f>D101&amp;CHAR(10)&amp;ROUND(B102,0)&amp;" pcs. "&amp;SUBSTITUTE(A102,CHAR(10),"")&amp;", "</f>
        <v xml:space="preserve">35 pcs. Gliclazide MR 60mg (D) (Melandy MR/Zeltine-MR), 
31 pcs. Carvedilol (H) 25mg/tab (Cardipres), </v>
      </c>
    </row>
    <row r="103" spans="1:4" x14ac:dyDescent="0.3">
      <c r="A103" t="s">
        <v>41</v>
      </c>
      <c r="B103">
        <v>35</v>
      </c>
      <c r="D103" t="str">
        <f t="shared" ref="D103:D107" si="5">D102&amp;CHAR(10)&amp;ROUND(B103,0)&amp;" pcs. "&amp;SUBSTITUTE(A103,CHAR(10),"")&amp;", "</f>
        <v xml:space="preserve">35 pcs. Gliclazide MR 60mg (D) (Melandy MR/Zeltine-MR), 
31 pcs. Carvedilol (H) 25mg/tab (Cardipres), 
35 pcs. Empagliflozin Linagliptin 25mg/10mg(D)(25mg/5mg(D)), </v>
      </c>
    </row>
    <row r="104" spans="1:4" x14ac:dyDescent="0.3">
      <c r="A104" t="s">
        <v>9</v>
      </c>
      <c r="B104">
        <v>67</v>
      </c>
      <c r="D104" t="str">
        <f t="shared" si="5"/>
        <v xml:space="preserve">35 pcs. Gliclazide MR 60mg (D) (Melandy MR/Zeltine-MR), 
31 pcs. Carvedilol (H) 25mg/tab (Cardipres), 
35 pcs. Empagliflozin Linagliptin 25mg/10mg(D)(25mg/5mg(D)), 
67 pcs. Metformin Hydrochloride 1000mg (Fornidd XR), </v>
      </c>
    </row>
    <row r="105" spans="1:4" x14ac:dyDescent="0.3">
      <c r="A105" t="s">
        <v>0</v>
      </c>
      <c r="B105">
        <v>35</v>
      </c>
      <c r="D105" t="str">
        <f t="shared" si="5"/>
        <v xml:space="preserve">35 pcs. Gliclazide MR 60mg (D) (Melandy MR/Zeltine-MR), 
31 pcs. Carvedilol (H) 25mg/tab (Cardipres), 
35 pcs. Empagliflozin Linagliptin 25mg/10mg(D)(25mg/5mg(D)), 
67 pcs. Metformin Hydrochloride 1000mg (Fornidd XR), 
35 pcs. Aspirin 80mg, </v>
      </c>
    </row>
    <row r="106" spans="1:4" x14ac:dyDescent="0.3">
      <c r="A106" t="s">
        <v>42</v>
      </c>
      <c r="B106">
        <v>14.857142857142858</v>
      </c>
      <c r="D106" t="str">
        <f t="shared" si="5"/>
        <v xml:space="preserve">35 pcs. Gliclazide MR 60mg (D) (Melandy MR/Zeltine-MR), 
31 pcs. Carvedilol (H) 25mg/tab (Cardipres), 
35 pcs. Empagliflozin Linagliptin 25mg/10mg(D)(25mg/5mg(D)), 
67 pcs. Metformin Hydrochloride 1000mg (Fornidd XR), 
35 pcs. Aspirin 80mg, 
15 pcs. Rosuvastatin (Rovista/Rosewin) 5mg (MWF), </v>
      </c>
    </row>
    <row r="107" spans="1:4" x14ac:dyDescent="0.3">
      <c r="A107" t="s">
        <v>43</v>
      </c>
      <c r="B107">
        <v>14.5</v>
      </c>
      <c r="D107" t="str">
        <f t="shared" si="5"/>
        <v xml:space="preserve">35 pcs. Gliclazide MR 60mg (D) (Melandy MR/Zeltine-MR), 
31 pcs. Carvedilol (H) 25mg/tab (Cardipres), 
35 pcs. Empagliflozin Linagliptin 25mg/10mg(D)(25mg/5mg(D)), 
67 pcs. Metformin Hydrochloride 1000mg (Fornidd XR), 
35 pcs. Aspirin 80mg, 
15 pcs. Rosuvastatin (Rovista/Rosewin) 5mg (MWF), 
15 pcs. Spironolactone ½ 50mg (W), </v>
      </c>
    </row>
    <row r="110" spans="1:4" ht="100.8" x14ac:dyDescent="0.3">
      <c r="D110" s="37" t="s">
        <v>75</v>
      </c>
    </row>
    <row r="113" spans="1:4" x14ac:dyDescent="0.3">
      <c r="A113" t="s">
        <v>34</v>
      </c>
      <c r="B113">
        <v>27</v>
      </c>
      <c r="D113" t="str">
        <f>ROUND(B113,0)&amp;" pcs. "&amp;SUBSTITUTE(A113,CHAR(10),"")&amp;", "</f>
        <v xml:space="preserve">27 pcs. Gliclazide MR 60mg (D) (Melandy MR/Zeltine-MR), </v>
      </c>
    </row>
    <row r="114" spans="1:4" x14ac:dyDescent="0.3">
      <c r="A114" t="s">
        <v>39</v>
      </c>
      <c r="B114">
        <v>28</v>
      </c>
      <c r="D114" t="str">
        <f>D113&amp;CHAR(10)&amp;ROUND(B114,0)&amp;" pcs. "&amp;SUBSTITUTE(A114,CHAR(10),"")&amp;", "</f>
        <v xml:space="preserve">27 pcs. Gliclazide MR 60mg (D) (Melandy MR/Zeltine-MR), 
28 pcs. Carvedilol (H) 25mg/tab, </v>
      </c>
    </row>
    <row r="115" spans="1:4" x14ac:dyDescent="0.3">
      <c r="A115" t="s">
        <v>9</v>
      </c>
      <c r="B115">
        <v>49</v>
      </c>
      <c r="D115" t="str">
        <f t="shared" ref="D115:D117" si="6">D114&amp;CHAR(10)&amp;ROUND(B115,0)&amp;" pcs. "&amp;SUBSTITUTE(A115,CHAR(10),"")&amp;", "</f>
        <v xml:space="preserve">27 pcs. Gliclazide MR 60mg (D) (Melandy MR/Zeltine-MR), 
28 pcs. Carvedilol (H) 25mg/tab, 
49 pcs. Metformin Hydrochloride 1000mg (Fornidd XR), </v>
      </c>
    </row>
    <row r="116" spans="1:4" x14ac:dyDescent="0.3">
      <c r="A116" t="s">
        <v>0</v>
      </c>
      <c r="B116">
        <v>28</v>
      </c>
      <c r="D116" t="str">
        <f t="shared" si="6"/>
        <v xml:space="preserve">27 pcs. Gliclazide MR 60mg (D) (Melandy MR/Zeltine-MR), 
28 pcs. Carvedilol (H) 25mg/tab, 
49 pcs. Metformin Hydrochloride 1000mg (Fornidd XR), 
28 pcs. Aspirin 80mg, </v>
      </c>
    </row>
    <row r="117" spans="1:4" x14ac:dyDescent="0.3">
      <c r="A117" t="s">
        <v>43</v>
      </c>
      <c r="B117">
        <v>12</v>
      </c>
      <c r="D117" t="str">
        <f t="shared" si="6"/>
        <v xml:space="preserve">27 pcs. Gliclazide MR 60mg (D) (Melandy MR/Zeltine-MR), 
28 pcs. Carvedilol (H) 25mg/tab, 
49 pcs. Metformin Hydrochloride 1000mg (Fornidd XR), 
28 pcs. Aspirin 80mg, 
12 pcs. Spironolactone ½ 50mg (W), </v>
      </c>
    </row>
    <row r="119" spans="1:4" ht="72" x14ac:dyDescent="0.3">
      <c r="D119" s="37" t="s">
        <v>77</v>
      </c>
    </row>
    <row r="123" spans="1:4" x14ac:dyDescent="0.3">
      <c r="A123" t="s">
        <v>41</v>
      </c>
      <c r="B123">
        <v>33</v>
      </c>
      <c r="D123" t="str">
        <f>ROUND(B123,0)&amp;" pcs. "&amp;SUBSTITUTE(A123,CHAR(10),"")&amp;", "</f>
        <v xml:space="preserve">33 pcs. Empagliflozin Linagliptin 25mg/10mg(D)(25mg/5mg(D)), </v>
      </c>
    </row>
    <row r="124" spans="1:4" x14ac:dyDescent="0.3">
      <c r="A124" t="s">
        <v>42</v>
      </c>
      <c r="B124">
        <v>14.142857142857142</v>
      </c>
      <c r="D124" t="str">
        <f t="shared" ref="D124" si="7">D123&amp;CHAR(10)&amp;ROUND(B124,0)&amp;" pcs. "&amp;SUBSTITUTE(A124,CHAR(10),"")&amp;", "</f>
        <v xml:space="preserve">33 pcs. Empagliflozin Linagliptin 25mg/10mg(D)(25mg/5mg(D)), 
14 pcs. Rosuvastatin (Rovista/Rosewin) 5mg (MWF), </v>
      </c>
    </row>
    <row r="126" spans="1:4" ht="28.8" x14ac:dyDescent="0.3">
      <c r="D126" s="37" t="s">
        <v>78</v>
      </c>
    </row>
    <row r="129" spans="1:4" x14ac:dyDescent="0.3">
      <c r="A129" t="s">
        <v>34</v>
      </c>
      <c r="B129">
        <v>6</v>
      </c>
      <c r="D129" t="str">
        <f>ROUND(B129,0)&amp;" pcs. "&amp;SUBSTITUTE(A129,CHAR(10),"")&amp;", "</f>
        <v xml:space="preserve">6 pcs. Gliclazide MR 60mg (D) (Melandy MR/Zeltine-MR), </v>
      </c>
    </row>
    <row r="130" spans="1:4" x14ac:dyDescent="0.3">
      <c r="A130" t="s">
        <v>9</v>
      </c>
      <c r="B130">
        <v>34</v>
      </c>
      <c r="D130" t="str">
        <f t="shared" ref="D130" si="8">D129&amp;CHAR(10)&amp;ROUND(B130,0)&amp;" pcs. "&amp;SUBSTITUTE(A130,CHAR(10),"")&amp;", "</f>
        <v xml:space="preserve">6 pcs. Gliclazide MR 60mg (D) (Melandy MR/Zeltine-MR), 
34 pcs. Metformin Hydrochloride 1000mg (Fornidd XR), </v>
      </c>
    </row>
    <row r="132" spans="1:4" ht="28.8" x14ac:dyDescent="0.3">
      <c r="D132" s="37" t="s">
        <v>82</v>
      </c>
    </row>
    <row r="134" spans="1:4" x14ac:dyDescent="0.3">
      <c r="A134" t="s">
        <v>81</v>
      </c>
      <c r="B134">
        <v>29</v>
      </c>
      <c r="D134" t="str">
        <f>ROUND(B134,0)&amp;" pcs. "&amp;SUBSTITUTE(A134,CHAR(10),"")&amp;", "</f>
        <v xml:space="preserve">29 pcs. Gliclazide MR 60mg (D) (Zeltine MR/Melandy-MR), </v>
      </c>
    </row>
    <row r="135" spans="1:4" x14ac:dyDescent="0.3">
      <c r="A135" s="37" t="s">
        <v>84</v>
      </c>
      <c r="B135">
        <v>25</v>
      </c>
      <c r="D135" t="str">
        <f t="shared" ref="D135:D140" si="9">D134&amp;CHAR(10)&amp;ROUND(B135,0)&amp;" pcs. "&amp;SUBSTITUTE(A135,CHAR(10),"")&amp;", "</f>
        <v xml:space="preserve">29 pcs. Gliclazide MR 60mg (D) (Zeltine MR/Melandy-MR), 
25 pcs. Carvedilol (H) 25mg/tab (BetaCard, Cardipres), </v>
      </c>
    </row>
    <row r="136" spans="1:4" x14ac:dyDescent="0.3">
      <c r="A136" t="s">
        <v>41</v>
      </c>
      <c r="B136">
        <v>27</v>
      </c>
      <c r="D136" t="str">
        <f t="shared" si="9"/>
        <v xml:space="preserve">29 pcs. Gliclazide MR 60mg (D) (Zeltine MR/Melandy-MR), 
25 pcs. Carvedilol (H) 25mg/tab (BetaCard, Cardipres), 
27 pcs. Empagliflozin Linagliptin 25mg/10mg(D)(25mg/5mg(D)), </v>
      </c>
    </row>
    <row r="137" spans="1:4" x14ac:dyDescent="0.3">
      <c r="A137" t="s">
        <v>9</v>
      </c>
      <c r="B137">
        <v>50</v>
      </c>
      <c r="D137" t="str">
        <f t="shared" si="9"/>
        <v xml:space="preserve">29 pcs. Gliclazide MR 60mg (D) (Zeltine MR/Melandy-MR), 
25 pcs. Carvedilol (H) 25mg/tab (BetaCard, Cardipres), 
27 pcs. Empagliflozin Linagliptin 25mg/10mg(D)(25mg/5mg(D)), 
50 pcs. Metformin Hydrochloride 1000mg (Fornidd XR), </v>
      </c>
    </row>
    <row r="138" spans="1:4" x14ac:dyDescent="0.3">
      <c r="A138" t="s">
        <v>0</v>
      </c>
      <c r="B138">
        <v>27</v>
      </c>
      <c r="D138" t="str">
        <f t="shared" si="9"/>
        <v xml:space="preserve">29 pcs. Gliclazide MR 60mg (D) (Zeltine MR/Melandy-MR), 
25 pcs. Carvedilol (H) 25mg/tab (BetaCard, Cardipres), 
27 pcs. Empagliflozin Linagliptin 25mg/10mg(D)(25mg/5mg(D)), 
50 pcs. Metformin Hydrochloride 1000mg (Fornidd XR), 
27 pcs. Aspirin 80mg, </v>
      </c>
    </row>
    <row r="139" spans="1:4" x14ac:dyDescent="0.3">
      <c r="A139" t="s">
        <v>42</v>
      </c>
      <c r="B139">
        <v>11.428571428571431</v>
      </c>
      <c r="D139" t="str">
        <f t="shared" si="9"/>
        <v xml:space="preserve">29 pcs. Gliclazide MR 60mg (D) (Zeltine MR/Melandy-MR), 
25 pcs. Carvedilol (H) 25mg/tab (BetaCard, Cardipres), 
27 pcs. Empagliflozin Linagliptin 25mg/10mg(D)(25mg/5mg(D)), 
50 pcs. Metformin Hydrochloride 1000mg (Fornidd XR), 
27 pcs. Aspirin 80mg, 
11 pcs. Rosuvastatin (Rovista/Rosewin) 5mg (MWF), </v>
      </c>
    </row>
    <row r="140" spans="1:4" x14ac:dyDescent="0.3">
      <c r="A140" t="s">
        <v>43</v>
      </c>
      <c r="B140">
        <v>10.5</v>
      </c>
      <c r="D140" t="str">
        <f t="shared" si="9"/>
        <v xml:space="preserve">29 pcs. Gliclazide MR 60mg (D) (Zeltine MR/Melandy-MR), 
25 pcs. Carvedilol (H) 25mg/tab (BetaCard, Cardipres), 
27 pcs. Empagliflozin Linagliptin 25mg/10mg(D)(25mg/5mg(D)), 
50 pcs. Metformin Hydrochloride 1000mg (Fornidd XR), 
27 pcs. Aspirin 80mg, 
11 pcs. Rosuvastatin (Rovista/Rosewin) 5mg (MWF), 
11 pcs. Spironolactone ½ 50mg (W), </v>
      </c>
    </row>
    <row r="142" spans="1:4" ht="100.8" x14ac:dyDescent="0.3">
      <c r="D142" s="37" t="s">
        <v>85</v>
      </c>
    </row>
    <row r="144" spans="1:4" x14ac:dyDescent="0.3">
      <c r="A144" t="s">
        <v>81</v>
      </c>
      <c r="B144">
        <v>42</v>
      </c>
      <c r="D144" t="str">
        <f>ROUND(B144,0)&amp;" pcs. "&amp;SUBSTITUTE(A144,CHAR(10),"")&amp;", "</f>
        <v xml:space="preserve">42 pcs. Gliclazide MR 60mg (D) (Zeltine MR/Melandy-MR), </v>
      </c>
    </row>
    <row r="145" spans="1:4" x14ac:dyDescent="0.3">
      <c r="A145" t="s">
        <v>86</v>
      </c>
      <c r="B145">
        <v>44</v>
      </c>
      <c r="D145" t="str">
        <f t="shared" ref="D145:D150" si="10">D144&amp;CHAR(10)&amp;ROUND(B145,0)&amp;" pcs. "&amp;SUBSTITUTE(A145,CHAR(10),"")&amp;", "</f>
        <v xml:space="preserve">42 pcs. Gliclazide MR 60mg (D) (Zeltine MR/Melandy-MR), 
44 pcs. Carvedilol (H) 25mg/tab (BetaCard, Cardipres), </v>
      </c>
    </row>
    <row r="146" spans="1:4" x14ac:dyDescent="0.3">
      <c r="A146" t="s">
        <v>41</v>
      </c>
      <c r="B146">
        <v>26</v>
      </c>
      <c r="D146" t="str">
        <f t="shared" si="10"/>
        <v xml:space="preserve">42 pcs. Gliclazide MR 60mg (D) (Zeltine MR/Melandy-MR), 
44 pcs. Carvedilol (H) 25mg/tab (BetaCard, Cardipres), 
26 pcs. Empagliflozin Linagliptin 25mg/10mg(D)(25mg/5mg(D)), </v>
      </c>
    </row>
    <row r="147" spans="1:4" x14ac:dyDescent="0.3">
      <c r="A147" t="s">
        <v>9</v>
      </c>
      <c r="B147">
        <v>21</v>
      </c>
      <c r="D147" t="str">
        <f t="shared" si="10"/>
        <v xml:space="preserve">42 pcs. Gliclazide MR 60mg (D) (Zeltine MR/Melandy-MR), 
44 pcs. Carvedilol (H) 25mg/tab (BetaCard, Cardipres), 
26 pcs. Empagliflozin Linagliptin 25mg/10mg(D)(25mg/5mg(D)), 
21 pcs. Metformin Hydrochloride 1000mg (Fornidd XR), </v>
      </c>
    </row>
    <row r="148" spans="1:4" x14ac:dyDescent="0.3">
      <c r="A148" t="s">
        <v>0</v>
      </c>
      <c r="B148">
        <v>26</v>
      </c>
      <c r="D148" t="str">
        <f t="shared" si="10"/>
        <v xml:space="preserve">42 pcs. Gliclazide MR 60mg (D) (Zeltine MR/Melandy-MR), 
44 pcs. Carvedilol (H) 25mg/tab (BetaCard, Cardipres), 
26 pcs. Empagliflozin Linagliptin 25mg/10mg(D)(25mg/5mg(D)), 
21 pcs. Metformin Hydrochloride 1000mg (Fornidd XR), 
26 pcs. Aspirin 80mg, </v>
      </c>
    </row>
    <row r="149" spans="1:4" x14ac:dyDescent="0.3">
      <c r="A149" t="s">
        <v>42</v>
      </c>
      <c r="B149">
        <v>27</v>
      </c>
      <c r="D149" t="str">
        <f t="shared" si="10"/>
        <v xml:space="preserve">42 pcs. Gliclazide MR 60mg (D) (Zeltine MR/Melandy-MR), 
44 pcs. Carvedilol (H) 25mg/tab (BetaCard, Cardipres), 
26 pcs. Empagliflozin Linagliptin 25mg/10mg(D)(25mg/5mg(D)), 
21 pcs. Metformin Hydrochloride 1000mg (Fornidd XR), 
26 pcs. Aspirin 80mg, 
27 pcs. Rosuvastatin (Rovista/Rosewin) 5mg (MWF), </v>
      </c>
    </row>
    <row r="150" spans="1:4" x14ac:dyDescent="0.3">
      <c r="A150" t="s">
        <v>43</v>
      </c>
      <c r="B150">
        <v>10</v>
      </c>
      <c r="D150" t="str">
        <f t="shared" si="10"/>
        <v xml:space="preserve">42 pcs. Gliclazide MR 60mg (D) (Zeltine MR/Melandy-MR), 
44 pcs. Carvedilol (H) 25mg/tab (BetaCard, Cardipres), 
26 pcs. Empagliflozin Linagliptin 25mg/10mg(D)(25mg/5mg(D)), 
21 pcs. Metformin Hydrochloride 1000mg (Fornidd XR), 
26 pcs. Aspirin 80mg, 
27 pcs. Rosuvastatin (Rovista/Rosewin) 5mg (MWF), 
10 pcs. Spironolactone ½ 50mg (W), </v>
      </c>
    </row>
    <row r="152" spans="1:4" ht="100.8" x14ac:dyDescent="0.3">
      <c r="D152" s="37" t="s">
        <v>87</v>
      </c>
    </row>
    <row r="155" spans="1:4" x14ac:dyDescent="0.3">
      <c r="A155" t="s">
        <v>81</v>
      </c>
      <c r="B155">
        <v>30.75</v>
      </c>
      <c r="D155" t="str">
        <f>ROUND(B155,0)&amp;" pcs. "&amp;SUBSTITUTE(A155,CHAR(10),"")&amp;", "</f>
        <v xml:space="preserve">31 pcs. Gliclazide MR 60mg (D) (Zeltine MR/Melandy-MR), </v>
      </c>
    </row>
    <row r="156" spans="1:4" x14ac:dyDescent="0.3">
      <c r="A156" t="s">
        <v>86</v>
      </c>
      <c r="B156">
        <v>52</v>
      </c>
      <c r="D156" t="str">
        <f t="shared" ref="D156:D161" si="11">D155&amp;CHAR(10)&amp;ROUND(B156,0)&amp;" pcs. "&amp;SUBSTITUTE(A156,CHAR(10),"")&amp;", "</f>
        <v xml:space="preserve">31 pcs. Gliclazide MR 60mg (D) (Zeltine MR/Melandy-MR), 
52 pcs. Carvedilol (H) 25mg/tab (BetaCard, Cardipres), </v>
      </c>
    </row>
    <row r="157" spans="1:4" x14ac:dyDescent="0.3">
      <c r="A157" t="s">
        <v>41</v>
      </c>
      <c r="B157">
        <v>28</v>
      </c>
      <c r="D157" t="str">
        <f t="shared" si="11"/>
        <v xml:space="preserve">31 pcs. Gliclazide MR 60mg (D) (Zeltine MR/Melandy-MR), 
52 pcs. Carvedilol (H) 25mg/tab (BetaCard, Cardipres), 
28 pcs. Empagliflozin Linagliptin 25mg/10mg(D)(25mg/5mg(D)), </v>
      </c>
    </row>
    <row r="158" spans="1:4" x14ac:dyDescent="0.3">
      <c r="A158" t="s">
        <v>9</v>
      </c>
      <c r="B158">
        <v>17</v>
      </c>
      <c r="D158" t="str">
        <f t="shared" si="11"/>
        <v xml:space="preserve">31 pcs. Gliclazide MR 60mg (D) (Zeltine MR/Melandy-MR), 
52 pcs. Carvedilol (H) 25mg/tab (BetaCard, Cardipres), 
28 pcs. Empagliflozin Linagliptin 25mg/10mg(D)(25mg/5mg(D)), 
17 pcs. Metformin Hydrochloride 1000mg (Fornidd XR), </v>
      </c>
    </row>
    <row r="159" spans="1:4" x14ac:dyDescent="0.3">
      <c r="A159" t="s">
        <v>0</v>
      </c>
      <c r="B159">
        <v>28</v>
      </c>
      <c r="D159" t="str">
        <f t="shared" si="11"/>
        <v xml:space="preserve">31 pcs. Gliclazide MR 60mg (D) (Zeltine MR/Melandy-MR), 
52 pcs. Carvedilol (H) 25mg/tab (BetaCard, Cardipres), 
28 pcs. Empagliflozin Linagliptin 25mg/10mg(D)(25mg/5mg(D)), 
17 pcs. Metformin Hydrochloride 1000mg (Fornidd XR), 
28 pcs. Aspirin 80mg, </v>
      </c>
    </row>
    <row r="160" spans="1:4" x14ac:dyDescent="0.3">
      <c r="A160" t="s">
        <v>42</v>
      </c>
      <c r="B160">
        <v>19</v>
      </c>
      <c r="D160" t="str">
        <f t="shared" si="11"/>
        <v xml:space="preserve">31 pcs. Gliclazide MR 60mg (D) (Zeltine MR/Melandy-MR), 
52 pcs. Carvedilol (H) 25mg/tab (BetaCard, Cardipres), 
28 pcs. Empagliflozin Linagliptin 25mg/10mg(D)(25mg/5mg(D)), 
17 pcs. Metformin Hydrochloride 1000mg (Fornidd XR), 
28 pcs. Aspirin 80mg, 
19 pcs. Rosuvastatin (Rovista/Rosewin) 5mg (MWF), </v>
      </c>
    </row>
    <row r="161" spans="1:4" x14ac:dyDescent="0.3">
      <c r="A161" t="s">
        <v>43</v>
      </c>
      <c r="B161">
        <v>13</v>
      </c>
      <c r="D161" t="str">
        <f t="shared" si="11"/>
        <v xml:space="preserve">31 pcs. Gliclazide MR 60mg (D) (Zeltine MR/Melandy-MR), 
52 pcs. Carvedilol (H) 25mg/tab (BetaCard, Cardipres), 
28 pcs. Empagliflozin Linagliptin 25mg/10mg(D)(25mg/5mg(D)), 
17 pcs. Metformin Hydrochloride 1000mg (Fornidd XR), 
28 pcs. Aspirin 80mg, 
19 pcs. Rosuvastatin (Rovista/Rosewin) 5mg (MWF), 
13 pcs. Spironolactone ½ 50mg (W), </v>
      </c>
    </row>
    <row r="163" spans="1:4" ht="100.8" x14ac:dyDescent="0.3">
      <c r="D163" s="37" t="s">
        <v>90</v>
      </c>
    </row>
  </sheetData>
  <mergeCells count="5">
    <mergeCell ref="A18:M18"/>
    <mergeCell ref="D29:J29"/>
    <mergeCell ref="D31:J31"/>
    <mergeCell ref="D53:J53"/>
    <mergeCell ref="D81:E8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88BD-046B-46BF-A0ED-6170607E3E7E}">
  <dimension ref="A1:AD28"/>
  <sheetViews>
    <sheetView zoomScale="184" zoomScaleNormal="184" workbookViewId="0">
      <selection activeCell="B2" sqref="B2"/>
    </sheetView>
  </sheetViews>
  <sheetFormatPr defaultRowHeight="31.2" x14ac:dyDescent="0.6"/>
  <cols>
    <col min="1" max="1" width="45" style="3" bestFit="1" customWidth="1"/>
    <col min="2" max="2" width="9" style="14" bestFit="1" customWidth="1"/>
    <col min="3" max="3" width="8.109375" style="21" bestFit="1" customWidth="1"/>
    <col min="4" max="8" width="7.44140625" style="3" customWidth="1"/>
    <col min="9" max="9" width="45" style="3" customWidth="1"/>
    <col min="10" max="10" width="9.88671875" style="18" customWidth="1"/>
    <col min="11" max="11" width="8.5546875" style="7" customWidth="1"/>
    <col min="12" max="20" width="9.109375" customWidth="1"/>
    <col min="21" max="21" width="10.109375" bestFit="1" customWidth="1"/>
    <col min="23" max="24" width="10.88671875" bestFit="1" customWidth="1"/>
    <col min="29" max="29" width="11.33203125" bestFit="1" customWidth="1"/>
    <col min="30" max="30" width="9.88671875" bestFit="1" customWidth="1"/>
  </cols>
  <sheetData>
    <row r="1" spans="1:30" s="1" customFormat="1" ht="44.4" thickTop="1" thickBot="1" x14ac:dyDescent="0.35">
      <c r="A1" s="27" t="s">
        <v>1</v>
      </c>
      <c r="B1" s="28" t="s">
        <v>2</v>
      </c>
      <c r="C1" s="29" t="s">
        <v>3</v>
      </c>
      <c r="D1" s="12" t="s">
        <v>19</v>
      </c>
      <c r="E1" s="12" t="s">
        <v>18</v>
      </c>
      <c r="F1" s="12" t="s">
        <v>17</v>
      </c>
      <c r="G1" s="12" t="s">
        <v>4</v>
      </c>
      <c r="H1" s="12" t="s">
        <v>12</v>
      </c>
      <c r="I1" s="30" t="s">
        <v>1</v>
      </c>
      <c r="J1" s="31" t="s">
        <v>2</v>
      </c>
      <c r="K1" s="32" t="s">
        <v>3</v>
      </c>
    </row>
    <row r="2" spans="1:30" ht="47.4" thickTop="1" x14ac:dyDescent="0.45">
      <c r="A2" s="24" t="s">
        <v>81</v>
      </c>
      <c r="B2" s="25" t="s">
        <v>20</v>
      </c>
      <c r="C2" s="26">
        <f>MAX(0,ROUND(($B$13*F2)-B2,0))</f>
        <v>44</v>
      </c>
      <c r="D2" s="11">
        <f t="shared" ref="D2:D7" si="0">E2*F2</f>
        <v>43.5</v>
      </c>
      <c r="E2" s="11">
        <f>$B$13</f>
        <v>29</v>
      </c>
      <c r="F2" s="11">
        <v>1.5</v>
      </c>
      <c r="G2" s="11">
        <f>7*F2</f>
        <v>10.5</v>
      </c>
      <c r="H2" s="11">
        <f>31*F2</f>
        <v>46.5</v>
      </c>
      <c r="I2" s="24" t="s">
        <v>16</v>
      </c>
      <c r="J2" s="15"/>
      <c r="K2" s="2"/>
      <c r="L2">
        <v>19</v>
      </c>
      <c r="O2" t="s">
        <v>6</v>
      </c>
    </row>
    <row r="3" spans="1:30" ht="40.799999999999997" x14ac:dyDescent="0.6">
      <c r="A3" s="38" t="s">
        <v>83</v>
      </c>
      <c r="B3" s="19" t="s">
        <v>25</v>
      </c>
      <c r="C3" s="26">
        <f t="shared" ref="C3:C9" si="1">MAX(0,ROUND(($B$13*F3)-B3,0))</f>
        <v>52</v>
      </c>
      <c r="D3" s="11">
        <f t="shared" si="0"/>
        <v>58</v>
      </c>
      <c r="E3" s="11">
        <f t="shared" ref="E3:E9" si="2">$B$13</f>
        <v>29</v>
      </c>
      <c r="F3" s="11">
        <v>2</v>
      </c>
      <c r="G3" s="11">
        <f t="shared" ref="G3:G9" si="3">7*F3</f>
        <v>14</v>
      </c>
      <c r="H3" s="11">
        <f t="shared" ref="H3:H9" si="4">31*F3</f>
        <v>62</v>
      </c>
      <c r="I3" s="4" t="s">
        <v>30</v>
      </c>
      <c r="J3" s="16"/>
      <c r="K3" s="9"/>
      <c r="O3" t="s">
        <v>8</v>
      </c>
    </row>
    <row r="4" spans="1:30" ht="48.6" x14ac:dyDescent="0.6">
      <c r="A4" s="8" t="s">
        <v>56</v>
      </c>
      <c r="B4" s="19" t="s">
        <v>97</v>
      </c>
      <c r="C4" s="26">
        <f t="shared" si="1"/>
        <v>0</v>
      </c>
      <c r="D4" s="11">
        <f t="shared" si="0"/>
        <v>14.5</v>
      </c>
      <c r="E4" s="11">
        <f t="shared" si="2"/>
        <v>29</v>
      </c>
      <c r="F4" s="11">
        <v>0.5</v>
      </c>
      <c r="G4" s="11">
        <f t="shared" si="3"/>
        <v>3.5</v>
      </c>
      <c r="H4" s="11">
        <f t="shared" si="4"/>
        <v>15.5</v>
      </c>
      <c r="I4" s="4" t="s">
        <v>29</v>
      </c>
      <c r="J4" s="16"/>
      <c r="K4" s="9"/>
    </row>
    <row r="5" spans="1:30" ht="46.8" x14ac:dyDescent="0.4">
      <c r="A5" s="13" t="s">
        <v>33</v>
      </c>
      <c r="B5" s="19" t="s">
        <v>20</v>
      </c>
      <c r="C5" s="26">
        <f t="shared" si="1"/>
        <v>29</v>
      </c>
      <c r="D5" s="11">
        <f t="shared" si="0"/>
        <v>29</v>
      </c>
      <c r="E5" s="11">
        <f t="shared" si="2"/>
        <v>29</v>
      </c>
      <c r="F5" s="11">
        <v>1</v>
      </c>
      <c r="G5" s="11">
        <f t="shared" si="3"/>
        <v>7</v>
      </c>
      <c r="H5" s="11">
        <f t="shared" si="4"/>
        <v>31</v>
      </c>
      <c r="I5" s="13" t="s">
        <v>15</v>
      </c>
      <c r="J5" s="16"/>
      <c r="K5" s="9"/>
    </row>
    <row r="6" spans="1:30" ht="46.8" x14ac:dyDescent="0.45">
      <c r="A6" s="8" t="s">
        <v>94</v>
      </c>
      <c r="B6" s="19" t="s">
        <v>25</v>
      </c>
      <c r="C6" s="26">
        <f t="shared" si="1"/>
        <v>23</v>
      </c>
      <c r="D6" s="11">
        <f t="shared" si="0"/>
        <v>29</v>
      </c>
      <c r="E6" s="11">
        <f t="shared" si="2"/>
        <v>29</v>
      </c>
      <c r="F6" s="11">
        <v>1</v>
      </c>
      <c r="G6" s="11">
        <f t="shared" si="3"/>
        <v>7</v>
      </c>
      <c r="H6" s="11">
        <f t="shared" si="4"/>
        <v>31</v>
      </c>
      <c r="I6" s="8" t="s">
        <v>9</v>
      </c>
      <c r="J6" s="16"/>
      <c r="K6" s="9"/>
    </row>
    <row r="7" spans="1:30" x14ac:dyDescent="0.6">
      <c r="A7" s="4" t="s">
        <v>0</v>
      </c>
      <c r="B7" s="19" t="s">
        <v>24</v>
      </c>
      <c r="C7" s="26">
        <f t="shared" si="1"/>
        <v>27</v>
      </c>
      <c r="D7" s="11">
        <f t="shared" si="0"/>
        <v>29</v>
      </c>
      <c r="E7" s="11">
        <f t="shared" si="2"/>
        <v>29</v>
      </c>
      <c r="F7" s="11">
        <v>1</v>
      </c>
      <c r="G7" s="11">
        <f t="shared" si="3"/>
        <v>7</v>
      </c>
      <c r="H7" s="11">
        <f t="shared" si="4"/>
        <v>31</v>
      </c>
      <c r="I7" s="4" t="s">
        <v>0</v>
      </c>
      <c r="J7" s="16"/>
      <c r="K7" s="9"/>
      <c r="O7" t="s">
        <v>7</v>
      </c>
    </row>
    <row r="8" spans="1:30" ht="46.8" x14ac:dyDescent="0.45">
      <c r="A8" s="8" t="s">
        <v>31</v>
      </c>
      <c r="B8" s="19" t="s">
        <v>35</v>
      </c>
      <c r="C8" s="26">
        <f t="shared" si="1"/>
        <v>21</v>
      </c>
      <c r="D8" s="11">
        <f>ROUND((E8/7)*G8,0)</f>
        <v>29</v>
      </c>
      <c r="E8" s="11">
        <f t="shared" si="2"/>
        <v>29</v>
      </c>
      <c r="F8" s="11">
        <v>1</v>
      </c>
      <c r="G8" s="11">
        <f t="shared" si="3"/>
        <v>7</v>
      </c>
      <c r="H8" s="11">
        <f t="shared" si="4"/>
        <v>31</v>
      </c>
      <c r="I8" s="8" t="s">
        <v>31</v>
      </c>
      <c r="J8" s="16"/>
      <c r="K8" s="9"/>
    </row>
    <row r="9" spans="1:30" ht="31.8" thickBot="1" x14ac:dyDescent="0.65">
      <c r="A9" s="5" t="s">
        <v>14</v>
      </c>
      <c r="B9" s="20" t="s">
        <v>22</v>
      </c>
      <c r="C9" s="26">
        <f t="shared" si="1"/>
        <v>14</v>
      </c>
      <c r="D9" s="11">
        <f>E9*F9</f>
        <v>14.5</v>
      </c>
      <c r="E9" s="11">
        <f t="shared" si="2"/>
        <v>29</v>
      </c>
      <c r="F9" s="11">
        <v>0.5</v>
      </c>
      <c r="G9" s="11">
        <f t="shared" si="3"/>
        <v>3.5</v>
      </c>
      <c r="H9" s="11">
        <f t="shared" si="4"/>
        <v>15.5</v>
      </c>
      <c r="I9" s="5" t="s">
        <v>14</v>
      </c>
      <c r="J9" s="17"/>
      <c r="K9" s="10"/>
    </row>
    <row r="10" spans="1:30" ht="31.8" thickTop="1" x14ac:dyDescent="0.6">
      <c r="A10" s="6"/>
      <c r="I10" s="6"/>
    </row>
    <row r="11" spans="1:30" x14ac:dyDescent="0.6">
      <c r="A11" s="3" t="s">
        <v>5</v>
      </c>
      <c r="B11" s="42">
        <v>45073</v>
      </c>
      <c r="C11" s="42"/>
      <c r="I11" s="3" t="s">
        <v>5</v>
      </c>
      <c r="J11" s="43"/>
      <c r="K11" s="43"/>
      <c r="AD11" s="34"/>
    </row>
    <row r="12" spans="1:30" x14ac:dyDescent="0.6">
      <c r="A12" s="3" t="s">
        <v>37</v>
      </c>
      <c r="B12" s="46">
        <f>B15+(6-WEEKDAY(B15,3))</f>
        <v>45102</v>
      </c>
      <c r="C12" s="46"/>
      <c r="D12" s="40">
        <f>B12</f>
        <v>45102</v>
      </c>
      <c r="AD12" s="35"/>
    </row>
    <row r="13" spans="1:30" x14ac:dyDescent="0.6">
      <c r="A13" s="3" t="s">
        <v>38</v>
      </c>
      <c r="B13" s="44">
        <f>B12-B11</f>
        <v>29</v>
      </c>
      <c r="C13" s="44"/>
    </row>
    <row r="15" spans="1:30" x14ac:dyDescent="0.6">
      <c r="A15" s="3" t="s">
        <v>45</v>
      </c>
      <c r="B15" s="42">
        <f>DATE(YEAR(B11),MONTH(B11)+1,23)</f>
        <v>45100</v>
      </c>
      <c r="C15" s="42"/>
      <c r="U15" s="34"/>
      <c r="X15" s="39"/>
    </row>
    <row r="16" spans="1:30" x14ac:dyDescent="0.3">
      <c r="A16" s="41">
        <f ca="1">DAY(EOMONTH(B11,0))-DAY(NOW())</f>
        <v>26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1:24" x14ac:dyDescent="0.6">
      <c r="A17" s="3">
        <f ca="1">7-WEEKDAY(NOW(),2)</f>
        <v>5</v>
      </c>
      <c r="B17" s="33">
        <f>DATEDIF(X17,X18,"d")</f>
        <v>30</v>
      </c>
      <c r="X17" s="34">
        <v>44738</v>
      </c>
    </row>
    <row r="18" spans="1:24" x14ac:dyDescent="0.6">
      <c r="B18" s="18">
        <f>B12-B11</f>
        <v>29</v>
      </c>
      <c r="X18" s="34">
        <v>44768</v>
      </c>
    </row>
    <row r="20" spans="1:24" x14ac:dyDescent="0.6">
      <c r="A20" t="str">
        <f>ROUND(C2,0)&amp;" pcs. "&amp;SUBSTITUTE(A2,CHAR(10),"")&amp;", "</f>
        <v xml:space="preserve">44 pcs. Gliclazide MR 60mg (D) (Zeltine MR/Melandy-MR), </v>
      </c>
    </row>
    <row r="21" spans="1:24" x14ac:dyDescent="0.6">
      <c r="A21" t="str">
        <f t="shared" ref="A21:A27" si="5">A20&amp;CHAR(10)&amp;ROUND(C3,0)&amp;" pcs. "&amp;SUBSTITUTE(A3,CHAR(10),"")&amp;", "</f>
        <v xml:space="preserve">44 pcs. Gliclazide MR 60mg (D) (Zeltine MR/Melandy-MR), 
52 pcs. Carvedilol (H) 25mg/tab (BetaCard, Cardipres), </v>
      </c>
    </row>
    <row r="22" spans="1:24" x14ac:dyDescent="0.6">
      <c r="A22" t="str">
        <f t="shared" si="5"/>
        <v xml:space="preserve">44 pcs. Gliclazide MR 60mg (D) (Zeltine MR/Melandy-MR), 
52 pcs. Carvedilol (H) 25mg/tab (BetaCard, Cardipres), 
0 pcs. Subutril-Valsartan(V) 200mgVymada, </v>
      </c>
    </row>
    <row r="23" spans="1:24" x14ac:dyDescent="0.6">
      <c r="A23" t="str">
        <f t="shared" si="5"/>
        <v xml:space="preserve">44 pcs. Gliclazide MR 60mg (D) (Zeltine MR/Melandy-MR), 
52 pcs. Carvedilol (H) 25mg/tab (BetaCard, Cardipres), 
0 pcs. Subutril-Valsartan(V) 200mgVymada, 
29 pcs. Empagliflozin Linagliptin 25mg/10mg(D)(25mg/5mg(D)), </v>
      </c>
    </row>
    <row r="24" spans="1:24" x14ac:dyDescent="0.6">
      <c r="A24" t="str">
        <f t="shared" si="5"/>
        <v xml:space="preserve">44 pcs. Gliclazide MR 60mg (D) (Zeltine MR/Melandy-MR), 
52 pcs. Carvedilol (H) 25mg/tab (BetaCard, Cardipres), 
0 pcs. Subutril-Valsartan(V) 200mgVymada, 
29 pcs. Empagliflozin Linagliptin 25mg/10mg(D)(25mg/5mg(D)), 
23 pcs. Metformin Hydrochloride 1000mg (Proglutrol), </v>
      </c>
    </row>
    <row r="25" spans="1:24" x14ac:dyDescent="0.6">
      <c r="A25" t="str">
        <f t="shared" si="5"/>
        <v xml:space="preserve">44 pcs. Gliclazide MR 60mg (D) (Zeltine MR/Melandy-MR), 
52 pcs. Carvedilol (H) 25mg/tab (BetaCard, Cardipres), 
0 pcs. Subutril-Valsartan(V) 200mgVymada, 
29 pcs. Empagliflozin Linagliptin 25mg/10mg(D)(25mg/5mg(D)), 
23 pcs. Metformin Hydrochloride 1000mg (Proglutrol), 
27 pcs. Aspirin 80mg, </v>
      </c>
    </row>
    <row r="26" spans="1:24" x14ac:dyDescent="0.6">
      <c r="A26" t="str">
        <f t="shared" si="5"/>
        <v xml:space="preserve">44 pcs. Gliclazide MR 60mg (D) (Zeltine MR/Melandy-MR), 
52 pcs. Carvedilol (H) 25mg/tab (BetaCard, Cardipres), 
0 pcs. Subutril-Valsartan(V) 200mgVymada, 
29 pcs. Empagliflozin Linagliptin 25mg/10mg(D)(25mg/5mg(D)), 
23 pcs. Metformin Hydrochloride 1000mg (Proglutrol), 
27 pcs. Aspirin 80mg, 
21 pcs. Rosuvastatin (Rovista/Rosewin) 5mg (MWF), </v>
      </c>
    </row>
    <row r="27" spans="1:24" ht="123" customHeight="1" x14ac:dyDescent="0.3">
      <c r="A27" s="45" t="str">
        <f t="shared" si="5"/>
        <v xml:space="preserve">44 pcs. Gliclazide MR 60mg (D) (Zeltine MR/Melandy-MR), 
52 pcs. Carvedilol (H) 25mg/tab (BetaCard, Cardipres), 
0 pcs. Subutril-Valsartan(V) 200mgVymada, 
29 pcs. Empagliflozin Linagliptin 25mg/10mg(D)(25mg/5mg(D)), 
23 pcs. Metformin Hydrochloride 1000mg (Proglutrol), 
27 pcs. Aspirin 80mg, 
21 pcs. Rosuvastatin (Rovista/Rosewin) 5mg (MWF), 
14 pcs. Spironolactone ½ 50mg (W), </v>
      </c>
      <c r="B27" s="45"/>
      <c r="C27" s="45"/>
      <c r="D27" s="45"/>
      <c r="E27" s="45"/>
      <c r="F27" s="45"/>
      <c r="G27" s="45"/>
      <c r="H27" s="45"/>
      <c r="I27" s="45"/>
    </row>
    <row r="28" spans="1:24" ht="90.75" customHeight="1" x14ac:dyDescent="0.3">
      <c r="A28" s="47" t="s">
        <v>98</v>
      </c>
      <c r="B28" s="47"/>
      <c r="C28" s="47"/>
      <c r="D28" s="47"/>
      <c r="E28" s="47"/>
      <c r="F28" s="47"/>
      <c r="G28" s="47"/>
      <c r="H28" s="47"/>
      <c r="I28" s="47"/>
    </row>
  </sheetData>
  <mergeCells count="8">
    <mergeCell ref="A27:I27"/>
    <mergeCell ref="A28:I28"/>
    <mergeCell ref="B11:C11"/>
    <mergeCell ref="J11:K11"/>
    <mergeCell ref="B12:C12"/>
    <mergeCell ref="B13:C13"/>
    <mergeCell ref="B15:C15"/>
    <mergeCell ref="A16:AA16"/>
  </mergeCells>
  <pageMargins left="0.25" right="0.25" top="0.75" bottom="0.7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596C-56CF-4BB6-B99F-FE0C819197BF}">
  <dimension ref="A1:AD28"/>
  <sheetViews>
    <sheetView zoomScale="184" zoomScaleNormal="184" workbookViewId="0">
      <selection activeCell="A2" sqref="A2"/>
    </sheetView>
  </sheetViews>
  <sheetFormatPr defaultRowHeight="31.2" x14ac:dyDescent="0.6"/>
  <cols>
    <col min="1" max="1" width="45" style="3" bestFit="1" customWidth="1"/>
    <col min="2" max="2" width="9" style="14" bestFit="1" customWidth="1"/>
    <col min="3" max="3" width="8.109375" style="21" bestFit="1" customWidth="1"/>
    <col min="4" max="8" width="7.44140625" style="3" customWidth="1"/>
    <col min="9" max="9" width="45" style="3" customWidth="1"/>
    <col min="10" max="10" width="9.88671875" style="18" customWidth="1"/>
    <col min="11" max="11" width="8.5546875" style="7" customWidth="1"/>
    <col min="12" max="20" width="9.109375" customWidth="1"/>
    <col min="21" max="21" width="10.109375" bestFit="1" customWidth="1"/>
    <col min="23" max="24" width="10.88671875" bestFit="1" customWidth="1"/>
    <col min="29" max="29" width="11.33203125" bestFit="1" customWidth="1"/>
    <col min="30" max="30" width="9.88671875" bestFit="1" customWidth="1"/>
  </cols>
  <sheetData>
    <row r="1" spans="1:30" s="1" customFormat="1" ht="44.4" thickTop="1" thickBot="1" x14ac:dyDescent="0.35">
      <c r="A1" s="27" t="s">
        <v>1</v>
      </c>
      <c r="B1" s="28" t="s">
        <v>2</v>
      </c>
      <c r="C1" s="29" t="s">
        <v>3</v>
      </c>
      <c r="D1" s="12" t="s">
        <v>19</v>
      </c>
      <c r="E1" s="12" t="s">
        <v>18</v>
      </c>
      <c r="F1" s="12" t="s">
        <v>17</v>
      </c>
      <c r="G1" s="12" t="s">
        <v>4</v>
      </c>
      <c r="H1" s="12" t="s">
        <v>12</v>
      </c>
      <c r="I1" s="30" t="s">
        <v>1</v>
      </c>
      <c r="J1" s="31" t="s">
        <v>2</v>
      </c>
      <c r="K1" s="32" t="s">
        <v>3</v>
      </c>
    </row>
    <row r="2" spans="1:30" ht="47.4" thickTop="1" x14ac:dyDescent="0.45">
      <c r="A2" s="24" t="s">
        <v>81</v>
      </c>
      <c r="B2" s="25" t="s">
        <v>25</v>
      </c>
      <c r="C2" s="26">
        <f>MAX(0,ROUND(($B$13*F2)-B2,0))</f>
        <v>36</v>
      </c>
      <c r="D2" s="11">
        <f t="shared" ref="D2:D7" si="0">E2*F2</f>
        <v>42</v>
      </c>
      <c r="E2" s="11">
        <f>$B$13</f>
        <v>28</v>
      </c>
      <c r="F2" s="11">
        <v>1.5</v>
      </c>
      <c r="G2" s="11">
        <f>7*F2</f>
        <v>10.5</v>
      </c>
      <c r="H2" s="11">
        <f>31*F2</f>
        <v>46.5</v>
      </c>
      <c r="I2" s="24" t="s">
        <v>16</v>
      </c>
      <c r="J2" s="15"/>
      <c r="K2" s="2"/>
      <c r="L2">
        <v>19</v>
      </c>
      <c r="O2" t="s">
        <v>6</v>
      </c>
    </row>
    <row r="3" spans="1:30" ht="40.799999999999997" x14ac:dyDescent="0.6">
      <c r="A3" s="38" t="s">
        <v>83</v>
      </c>
      <c r="B3" s="19" t="s">
        <v>28</v>
      </c>
      <c r="C3" s="26">
        <f t="shared" ref="C3:C9" si="1">MAX(0,ROUND(($B$13*F3)-B3,0))</f>
        <v>49</v>
      </c>
      <c r="D3" s="11">
        <f t="shared" si="0"/>
        <v>56</v>
      </c>
      <c r="E3" s="11">
        <f t="shared" ref="E3:E9" si="2">$B$13</f>
        <v>28</v>
      </c>
      <c r="F3" s="11">
        <v>2</v>
      </c>
      <c r="G3" s="11">
        <f t="shared" ref="G3:G9" si="3">7*F3</f>
        <v>14</v>
      </c>
      <c r="H3" s="11">
        <f t="shared" ref="H3:H9" si="4">31*F3</f>
        <v>62</v>
      </c>
      <c r="I3" s="4" t="s">
        <v>30</v>
      </c>
      <c r="J3" s="16"/>
      <c r="K3" s="9"/>
      <c r="O3" t="s">
        <v>8</v>
      </c>
    </row>
    <row r="4" spans="1:30" ht="48.6" x14ac:dyDescent="0.6">
      <c r="A4" s="8" t="s">
        <v>56</v>
      </c>
      <c r="B4" s="19" t="s">
        <v>36</v>
      </c>
      <c r="C4" s="26">
        <f t="shared" si="1"/>
        <v>0</v>
      </c>
      <c r="D4" s="11">
        <f t="shared" si="0"/>
        <v>14</v>
      </c>
      <c r="E4" s="11">
        <f t="shared" si="2"/>
        <v>28</v>
      </c>
      <c r="F4" s="11">
        <v>0.5</v>
      </c>
      <c r="G4" s="11">
        <f t="shared" si="3"/>
        <v>3.5</v>
      </c>
      <c r="H4" s="11">
        <f t="shared" si="4"/>
        <v>15.5</v>
      </c>
      <c r="I4" s="4" t="s">
        <v>29</v>
      </c>
      <c r="J4" s="16"/>
      <c r="K4" s="9"/>
    </row>
    <row r="5" spans="1:30" ht="46.8" x14ac:dyDescent="0.4">
      <c r="A5" s="13" t="s">
        <v>33</v>
      </c>
      <c r="B5" s="19" t="s">
        <v>24</v>
      </c>
      <c r="C5" s="26">
        <f t="shared" si="1"/>
        <v>26</v>
      </c>
      <c r="D5" s="11">
        <f t="shared" si="0"/>
        <v>28</v>
      </c>
      <c r="E5" s="11">
        <f t="shared" si="2"/>
        <v>28</v>
      </c>
      <c r="F5" s="11">
        <v>1</v>
      </c>
      <c r="G5" s="11">
        <f t="shared" si="3"/>
        <v>7</v>
      </c>
      <c r="H5" s="11">
        <f t="shared" si="4"/>
        <v>31</v>
      </c>
      <c r="I5" s="13" t="s">
        <v>15</v>
      </c>
      <c r="J5" s="16"/>
      <c r="K5" s="9"/>
    </row>
    <row r="6" spans="1:30" ht="46.8" x14ac:dyDescent="0.45">
      <c r="A6" s="8" t="s">
        <v>94</v>
      </c>
      <c r="B6" s="19" t="s">
        <v>21</v>
      </c>
      <c r="C6" s="26">
        <f t="shared" si="1"/>
        <v>25</v>
      </c>
      <c r="D6" s="11">
        <f t="shared" si="0"/>
        <v>28</v>
      </c>
      <c r="E6" s="11">
        <f t="shared" si="2"/>
        <v>28</v>
      </c>
      <c r="F6" s="11">
        <v>1</v>
      </c>
      <c r="G6" s="11">
        <f t="shared" si="3"/>
        <v>7</v>
      </c>
      <c r="H6" s="11">
        <f t="shared" si="4"/>
        <v>31</v>
      </c>
      <c r="I6" s="8" t="s">
        <v>9</v>
      </c>
      <c r="J6" s="16"/>
      <c r="K6" s="9"/>
    </row>
    <row r="7" spans="1:30" x14ac:dyDescent="0.6">
      <c r="A7" s="4" t="s">
        <v>0</v>
      </c>
      <c r="B7" s="19" t="s">
        <v>22</v>
      </c>
      <c r="C7" s="26">
        <f t="shared" si="1"/>
        <v>27</v>
      </c>
      <c r="D7" s="11">
        <f t="shared" si="0"/>
        <v>28</v>
      </c>
      <c r="E7" s="11">
        <f t="shared" si="2"/>
        <v>28</v>
      </c>
      <c r="F7" s="11">
        <v>1</v>
      </c>
      <c r="G7" s="11">
        <f t="shared" si="3"/>
        <v>7</v>
      </c>
      <c r="H7" s="11">
        <f t="shared" si="4"/>
        <v>31</v>
      </c>
      <c r="I7" s="4" t="s">
        <v>0</v>
      </c>
      <c r="J7" s="16"/>
      <c r="K7" s="9"/>
      <c r="O7" t="s">
        <v>7</v>
      </c>
    </row>
    <row r="8" spans="1:30" ht="46.8" x14ac:dyDescent="0.45">
      <c r="A8" s="8" t="s">
        <v>31</v>
      </c>
      <c r="B8" s="19" t="s">
        <v>26</v>
      </c>
      <c r="C8" s="26">
        <f t="shared" si="1"/>
        <v>24</v>
      </c>
      <c r="D8" s="11">
        <f>ROUND((E8/7)*G8,0)</f>
        <v>28</v>
      </c>
      <c r="E8" s="11">
        <f t="shared" si="2"/>
        <v>28</v>
      </c>
      <c r="F8" s="11">
        <v>1</v>
      </c>
      <c r="G8" s="11">
        <f t="shared" si="3"/>
        <v>7</v>
      </c>
      <c r="H8" s="11">
        <f t="shared" si="4"/>
        <v>31</v>
      </c>
      <c r="I8" s="8" t="s">
        <v>31</v>
      </c>
      <c r="J8" s="16"/>
      <c r="K8" s="9"/>
    </row>
    <row r="9" spans="1:30" ht="31.8" thickBot="1" x14ac:dyDescent="0.65">
      <c r="A9" s="5" t="s">
        <v>14</v>
      </c>
      <c r="B9" s="20" t="s">
        <v>20</v>
      </c>
      <c r="C9" s="26">
        <f t="shared" si="1"/>
        <v>14</v>
      </c>
      <c r="D9" s="11">
        <f>E9*F9</f>
        <v>14</v>
      </c>
      <c r="E9" s="11">
        <f t="shared" si="2"/>
        <v>28</v>
      </c>
      <c r="F9" s="11">
        <v>0.5</v>
      </c>
      <c r="G9" s="11">
        <f t="shared" si="3"/>
        <v>3.5</v>
      </c>
      <c r="H9" s="11">
        <f t="shared" si="4"/>
        <v>15.5</v>
      </c>
      <c r="I9" s="5" t="s">
        <v>14</v>
      </c>
      <c r="J9" s="17"/>
      <c r="K9" s="10"/>
    </row>
    <row r="10" spans="1:30" ht="31.8" thickTop="1" x14ac:dyDescent="0.6">
      <c r="A10" s="6"/>
      <c r="I10" s="6"/>
    </row>
    <row r="11" spans="1:30" x14ac:dyDescent="0.6">
      <c r="A11" s="3" t="s">
        <v>5</v>
      </c>
      <c r="B11" s="42">
        <v>45102</v>
      </c>
      <c r="C11" s="42"/>
      <c r="I11" s="3" t="s">
        <v>5</v>
      </c>
      <c r="J11" s="43"/>
      <c r="K11" s="43"/>
      <c r="AD11" s="34"/>
    </row>
    <row r="12" spans="1:30" x14ac:dyDescent="0.6">
      <c r="A12" s="3" t="s">
        <v>37</v>
      </c>
      <c r="B12" s="46">
        <f>B15+(6-WEEKDAY(B15,3))</f>
        <v>45130</v>
      </c>
      <c r="C12" s="46"/>
      <c r="D12" s="40">
        <f>B12</f>
        <v>45130</v>
      </c>
      <c r="AD12" s="35"/>
    </row>
    <row r="13" spans="1:30" x14ac:dyDescent="0.6">
      <c r="A13" s="3" t="s">
        <v>38</v>
      </c>
      <c r="B13" s="44">
        <f>B12-B11</f>
        <v>28</v>
      </c>
      <c r="C13" s="44"/>
    </row>
    <row r="15" spans="1:30" x14ac:dyDescent="0.6">
      <c r="A15" s="3" t="s">
        <v>45</v>
      </c>
      <c r="B15" s="42">
        <f>DATE(YEAR(B11),MONTH(B11)+1,23)</f>
        <v>45130</v>
      </c>
      <c r="C15" s="42"/>
      <c r="U15" s="34"/>
      <c r="X15" s="39"/>
    </row>
    <row r="16" spans="1:30" x14ac:dyDescent="0.3">
      <c r="A16" s="41">
        <f ca="1">DAY(EOMONTH(B11,0))-DAY(NOW())</f>
        <v>25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1:24" x14ac:dyDescent="0.6">
      <c r="A17" s="3">
        <f ca="1">7-WEEKDAY(NOW(),2)</f>
        <v>5</v>
      </c>
      <c r="B17" s="33">
        <f>DATEDIF(X17,X18,"d")</f>
        <v>30</v>
      </c>
      <c r="X17" s="34">
        <v>44738</v>
      </c>
    </row>
    <row r="18" spans="1:24" x14ac:dyDescent="0.6">
      <c r="B18" s="18">
        <f>B12-B11</f>
        <v>28</v>
      </c>
      <c r="X18" s="34">
        <v>44768</v>
      </c>
    </row>
    <row r="20" spans="1:24" x14ac:dyDescent="0.6">
      <c r="A20" t="str">
        <f>ROUND(C2,0)&amp;" pcs. "&amp;SUBSTITUTE(A2,CHAR(10),"")&amp;", "</f>
        <v xml:space="preserve">36 pcs. Gliclazide MR 60mg (D) (Zeltine MR/Melandy-MR), </v>
      </c>
    </row>
    <row r="21" spans="1:24" x14ac:dyDescent="0.6">
      <c r="A21" t="str">
        <f t="shared" ref="A21:A27" si="5">A20&amp;CHAR(10)&amp;ROUND(C3,0)&amp;" pcs. "&amp;SUBSTITUTE(A3,CHAR(10),"")&amp;", "</f>
        <v xml:space="preserve">36 pcs. Gliclazide MR 60mg (D) (Zeltine MR/Melandy-MR), 
49 pcs. Carvedilol (H) 25mg/tab (BetaCard, Cardipres), </v>
      </c>
    </row>
    <row r="22" spans="1:24" x14ac:dyDescent="0.6">
      <c r="A22" t="str">
        <f t="shared" si="5"/>
        <v xml:space="preserve">36 pcs. Gliclazide MR 60mg (D) (Zeltine MR/Melandy-MR), 
49 pcs. Carvedilol (H) 25mg/tab (BetaCard, Cardipres), 
0 pcs. Subutril-Valsartan(V) 200mgVymada, </v>
      </c>
    </row>
    <row r="23" spans="1:24" x14ac:dyDescent="0.6">
      <c r="A23" t="str">
        <f t="shared" si="5"/>
        <v xml:space="preserve">36 pcs. Gliclazide MR 60mg (D) (Zeltine MR/Melandy-MR), 
49 pcs. Carvedilol (H) 25mg/tab (BetaCard, Cardipres), 
0 pcs. Subutril-Valsartan(V) 200mgVymada, 
26 pcs. Empagliflozin Linagliptin 25mg/10mg(D)(25mg/5mg(D)), </v>
      </c>
    </row>
    <row r="24" spans="1:24" x14ac:dyDescent="0.6">
      <c r="A24" t="str">
        <f t="shared" si="5"/>
        <v xml:space="preserve">36 pcs. Gliclazide MR 60mg (D) (Zeltine MR/Melandy-MR), 
49 pcs. Carvedilol (H) 25mg/tab (BetaCard, Cardipres), 
0 pcs. Subutril-Valsartan(V) 200mgVymada, 
26 pcs. Empagliflozin Linagliptin 25mg/10mg(D)(25mg/5mg(D)), 
25 pcs. Metformin Hydrochloride 1000mg (Proglutrol), </v>
      </c>
    </row>
    <row r="25" spans="1:24" x14ac:dyDescent="0.6">
      <c r="A25" t="str">
        <f t="shared" si="5"/>
        <v xml:space="preserve">36 pcs. Gliclazide MR 60mg (D) (Zeltine MR/Melandy-MR), 
49 pcs. Carvedilol (H) 25mg/tab (BetaCard, Cardipres), 
0 pcs. Subutril-Valsartan(V) 200mgVymada, 
26 pcs. Empagliflozin Linagliptin 25mg/10mg(D)(25mg/5mg(D)), 
25 pcs. Metformin Hydrochloride 1000mg (Proglutrol), 
27 pcs. Aspirin 80mg, </v>
      </c>
    </row>
    <row r="26" spans="1:24" x14ac:dyDescent="0.6">
      <c r="A26" t="str">
        <f t="shared" si="5"/>
        <v xml:space="preserve">36 pcs. Gliclazide MR 60mg (D) (Zeltine MR/Melandy-MR), 
49 pcs. Carvedilol (H) 25mg/tab (BetaCard, Cardipres), 
0 pcs. Subutril-Valsartan(V) 200mgVymada, 
26 pcs. Empagliflozin Linagliptin 25mg/10mg(D)(25mg/5mg(D)), 
25 pcs. Metformin Hydrochloride 1000mg (Proglutrol), 
27 pcs. Aspirin 80mg, 
24 pcs. Rosuvastatin (Rovista/Rosewin) 5mg (MWF), </v>
      </c>
    </row>
    <row r="27" spans="1:24" ht="123" customHeight="1" x14ac:dyDescent="0.3">
      <c r="A27" s="45" t="str">
        <f t="shared" si="5"/>
        <v xml:space="preserve">36 pcs. Gliclazide MR 60mg (D) (Zeltine MR/Melandy-MR), 
49 pcs. Carvedilol (H) 25mg/tab (BetaCard, Cardipres), 
0 pcs. Subutril-Valsartan(V) 200mgVymada, 
26 pcs. Empagliflozin Linagliptin 25mg/10mg(D)(25mg/5mg(D)), 
25 pcs. Metformin Hydrochloride 1000mg (Proglutrol), 
27 pcs. Aspirin 80mg, 
24 pcs. Rosuvastatin (Rovista/Rosewin) 5mg (MWF), 
14 pcs. Spironolactone ½ 50mg (W), </v>
      </c>
      <c r="B27" s="45"/>
      <c r="C27" s="45"/>
      <c r="D27" s="45"/>
      <c r="E27" s="45"/>
      <c r="F27" s="45"/>
      <c r="G27" s="45"/>
      <c r="H27" s="45"/>
      <c r="I27" s="45"/>
    </row>
    <row r="28" spans="1:24" ht="90.75" customHeight="1" x14ac:dyDescent="0.3">
      <c r="A28" s="47" t="s">
        <v>99</v>
      </c>
      <c r="B28" s="47"/>
      <c r="C28" s="47"/>
      <c r="D28" s="47"/>
      <c r="E28" s="47"/>
      <c r="F28" s="47"/>
      <c r="G28" s="47"/>
      <c r="H28" s="47"/>
      <c r="I28" s="47"/>
    </row>
  </sheetData>
  <mergeCells count="8">
    <mergeCell ref="A27:I27"/>
    <mergeCell ref="A28:I28"/>
    <mergeCell ref="B11:C11"/>
    <mergeCell ref="J11:K11"/>
    <mergeCell ref="B12:C12"/>
    <mergeCell ref="B13:C13"/>
    <mergeCell ref="B15:C15"/>
    <mergeCell ref="A16:AA16"/>
  </mergeCells>
  <pageMargins left="0.25" right="0.25" top="0.75" bottom="0.75" header="0.3" footer="0.3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A59DB-4FD9-4629-B59A-39D23E1733E9}">
  <dimension ref="A1:AD28"/>
  <sheetViews>
    <sheetView topLeftCell="A4" zoomScale="184" zoomScaleNormal="184" workbookViewId="0">
      <selection activeCell="A9" sqref="A9"/>
    </sheetView>
  </sheetViews>
  <sheetFormatPr defaultRowHeight="31.2" x14ac:dyDescent="0.6"/>
  <cols>
    <col min="1" max="1" width="45" style="3" bestFit="1" customWidth="1"/>
    <col min="2" max="2" width="9" style="14" bestFit="1" customWidth="1"/>
    <col min="3" max="3" width="8.109375" style="21" bestFit="1" customWidth="1"/>
    <col min="4" max="8" width="7.44140625" style="3" customWidth="1"/>
    <col min="9" max="9" width="45" style="3" customWidth="1"/>
    <col min="10" max="10" width="9.88671875" style="18" customWidth="1"/>
    <col min="11" max="11" width="8.5546875" style="7" customWidth="1"/>
    <col min="12" max="20" width="9.109375" customWidth="1"/>
    <col min="21" max="21" width="10.109375" bestFit="1" customWidth="1"/>
    <col min="23" max="24" width="10.88671875" bestFit="1" customWidth="1"/>
    <col min="29" max="29" width="11.33203125" bestFit="1" customWidth="1"/>
    <col min="30" max="30" width="9.88671875" bestFit="1" customWidth="1"/>
  </cols>
  <sheetData>
    <row r="1" spans="1:30" s="1" customFormat="1" ht="44.4" thickTop="1" thickBot="1" x14ac:dyDescent="0.35">
      <c r="A1" s="27" t="s">
        <v>1</v>
      </c>
      <c r="B1" s="28" t="s">
        <v>2</v>
      </c>
      <c r="C1" s="29" t="s">
        <v>3</v>
      </c>
      <c r="D1" s="12" t="s">
        <v>19</v>
      </c>
      <c r="E1" s="12" t="s">
        <v>18</v>
      </c>
      <c r="F1" s="12" t="s">
        <v>17</v>
      </c>
      <c r="G1" s="12" t="s">
        <v>4</v>
      </c>
      <c r="H1" s="12" t="s">
        <v>12</v>
      </c>
      <c r="I1" s="30" t="s">
        <v>1</v>
      </c>
      <c r="J1" s="31" t="s">
        <v>2</v>
      </c>
      <c r="K1" s="32" t="s">
        <v>3</v>
      </c>
    </row>
    <row r="2" spans="1:30" ht="47.4" thickTop="1" x14ac:dyDescent="0.45">
      <c r="A2" s="24" t="s">
        <v>81</v>
      </c>
      <c r="B2" s="25" t="s">
        <v>22</v>
      </c>
      <c r="C2" s="26">
        <f>MAX(0,ROUND(($B$13*F2)-B2,0))</f>
        <v>49</v>
      </c>
      <c r="D2" s="11">
        <f t="shared" ref="D2:D7" si="0">E2*F2</f>
        <v>49.5</v>
      </c>
      <c r="E2" s="11">
        <f>$B$13</f>
        <v>33</v>
      </c>
      <c r="F2" s="11">
        <v>1.5</v>
      </c>
      <c r="G2" s="11">
        <f>7*F2</f>
        <v>10.5</v>
      </c>
      <c r="H2" s="11">
        <f>31*F2</f>
        <v>46.5</v>
      </c>
      <c r="I2" s="24" t="s">
        <v>16</v>
      </c>
      <c r="J2" s="15"/>
      <c r="K2" s="2"/>
      <c r="L2">
        <v>19</v>
      </c>
      <c r="O2" t="s">
        <v>6</v>
      </c>
    </row>
    <row r="3" spans="1:30" ht="40.799999999999997" x14ac:dyDescent="0.6">
      <c r="A3" s="38" t="s">
        <v>83</v>
      </c>
      <c r="B3" s="19" t="s">
        <v>24</v>
      </c>
      <c r="C3" s="26">
        <f t="shared" ref="C3:C9" si="1">MAX(0,ROUND(($B$13*F3)-B3,0))</f>
        <v>64</v>
      </c>
      <c r="D3" s="11">
        <f t="shared" si="0"/>
        <v>66</v>
      </c>
      <c r="E3" s="11">
        <f t="shared" ref="E3:E9" si="2">$B$13</f>
        <v>33</v>
      </c>
      <c r="F3" s="11">
        <v>2</v>
      </c>
      <c r="G3" s="11">
        <f t="shared" ref="G3:G9" si="3">7*F3</f>
        <v>14</v>
      </c>
      <c r="H3" s="11">
        <f t="shared" ref="H3:H9" si="4">31*F3</f>
        <v>62</v>
      </c>
      <c r="I3" s="4" t="s">
        <v>30</v>
      </c>
      <c r="J3" s="16"/>
      <c r="K3" s="9"/>
      <c r="O3" t="s">
        <v>8</v>
      </c>
    </row>
    <row r="4" spans="1:30" ht="48.6" x14ac:dyDescent="0.6">
      <c r="A4" s="8" t="s">
        <v>56</v>
      </c>
      <c r="B4" s="19" t="s">
        <v>76</v>
      </c>
      <c r="C4" s="26">
        <f t="shared" si="1"/>
        <v>0</v>
      </c>
      <c r="D4" s="11">
        <f t="shared" si="0"/>
        <v>16.5</v>
      </c>
      <c r="E4" s="11">
        <f t="shared" si="2"/>
        <v>33</v>
      </c>
      <c r="F4" s="11">
        <v>0.5</v>
      </c>
      <c r="G4" s="11">
        <f t="shared" si="3"/>
        <v>3.5</v>
      </c>
      <c r="H4" s="11">
        <f t="shared" si="4"/>
        <v>15.5</v>
      </c>
      <c r="I4" s="4" t="s">
        <v>29</v>
      </c>
      <c r="J4" s="16"/>
      <c r="K4" s="9"/>
    </row>
    <row r="5" spans="1:30" ht="46.8" x14ac:dyDescent="0.4">
      <c r="A5" s="13" t="s">
        <v>33</v>
      </c>
      <c r="B5" s="19" t="s">
        <v>22</v>
      </c>
      <c r="C5" s="26">
        <f t="shared" si="1"/>
        <v>32</v>
      </c>
      <c r="D5" s="11">
        <f t="shared" si="0"/>
        <v>33</v>
      </c>
      <c r="E5" s="11">
        <f t="shared" si="2"/>
        <v>33</v>
      </c>
      <c r="F5" s="11">
        <v>1</v>
      </c>
      <c r="G5" s="11">
        <f t="shared" si="3"/>
        <v>7</v>
      </c>
      <c r="H5" s="11">
        <f t="shared" si="4"/>
        <v>31</v>
      </c>
      <c r="I5" s="13" t="s">
        <v>15</v>
      </c>
      <c r="J5" s="16"/>
      <c r="K5" s="9"/>
    </row>
    <row r="6" spans="1:30" ht="46.8" x14ac:dyDescent="0.45">
      <c r="A6" s="8" t="s">
        <v>94</v>
      </c>
      <c r="B6" s="19" t="s">
        <v>24</v>
      </c>
      <c r="C6" s="26">
        <f t="shared" si="1"/>
        <v>31</v>
      </c>
      <c r="D6" s="11">
        <f t="shared" si="0"/>
        <v>33</v>
      </c>
      <c r="E6" s="11">
        <f t="shared" si="2"/>
        <v>33</v>
      </c>
      <c r="F6" s="11">
        <v>1</v>
      </c>
      <c r="G6" s="11">
        <f t="shared" si="3"/>
        <v>7</v>
      </c>
      <c r="H6" s="11">
        <f t="shared" si="4"/>
        <v>31</v>
      </c>
      <c r="I6" s="8" t="s">
        <v>9</v>
      </c>
      <c r="J6" s="16"/>
      <c r="K6" s="9"/>
    </row>
    <row r="7" spans="1:30" x14ac:dyDescent="0.6">
      <c r="A7" s="4" t="s">
        <v>0</v>
      </c>
      <c r="B7" s="19" t="s">
        <v>22</v>
      </c>
      <c r="C7" s="26">
        <f t="shared" si="1"/>
        <v>32</v>
      </c>
      <c r="D7" s="11">
        <f t="shared" si="0"/>
        <v>33</v>
      </c>
      <c r="E7" s="11">
        <f t="shared" si="2"/>
        <v>33</v>
      </c>
      <c r="F7" s="11">
        <v>1</v>
      </c>
      <c r="G7" s="11">
        <f t="shared" si="3"/>
        <v>7</v>
      </c>
      <c r="H7" s="11">
        <f t="shared" si="4"/>
        <v>31</v>
      </c>
      <c r="I7" s="4" t="s">
        <v>0</v>
      </c>
      <c r="J7" s="16"/>
      <c r="K7" s="9"/>
      <c r="O7" t="s">
        <v>7</v>
      </c>
    </row>
    <row r="8" spans="1:30" ht="46.8" x14ac:dyDescent="0.45">
      <c r="A8" s="8" t="s">
        <v>100</v>
      </c>
      <c r="B8" s="19" t="s">
        <v>20</v>
      </c>
      <c r="C8" s="26">
        <f t="shared" si="1"/>
        <v>33</v>
      </c>
      <c r="D8" s="11">
        <f>ROUND((E8/7)*G8,0)</f>
        <v>33</v>
      </c>
      <c r="E8" s="11">
        <f t="shared" si="2"/>
        <v>33</v>
      </c>
      <c r="F8" s="11">
        <v>1</v>
      </c>
      <c r="G8" s="11">
        <f t="shared" si="3"/>
        <v>7</v>
      </c>
      <c r="H8" s="11">
        <f t="shared" si="4"/>
        <v>31</v>
      </c>
      <c r="I8" s="8" t="s">
        <v>31</v>
      </c>
      <c r="J8" s="16"/>
      <c r="K8" s="9"/>
    </row>
    <row r="9" spans="1:30" ht="31.8" thickBot="1" x14ac:dyDescent="0.65">
      <c r="A9" s="5" t="s">
        <v>14</v>
      </c>
      <c r="B9" s="20" t="s">
        <v>27</v>
      </c>
      <c r="C9" s="26">
        <f t="shared" si="1"/>
        <v>16</v>
      </c>
      <c r="D9" s="11">
        <f>E9*F9</f>
        <v>16.5</v>
      </c>
      <c r="E9" s="11">
        <f t="shared" si="2"/>
        <v>33</v>
      </c>
      <c r="F9" s="11">
        <v>0.5</v>
      </c>
      <c r="G9" s="11">
        <f t="shared" si="3"/>
        <v>3.5</v>
      </c>
      <c r="H9" s="11">
        <f t="shared" si="4"/>
        <v>15.5</v>
      </c>
      <c r="I9" s="5" t="s">
        <v>14</v>
      </c>
      <c r="J9" s="17"/>
      <c r="K9" s="10"/>
    </row>
    <row r="10" spans="1:30" ht="31.8" thickTop="1" x14ac:dyDescent="0.6">
      <c r="A10" s="6"/>
      <c r="I10" s="6"/>
    </row>
    <row r="11" spans="1:30" x14ac:dyDescent="0.6">
      <c r="A11" s="3" t="s">
        <v>5</v>
      </c>
      <c r="B11" s="42">
        <v>45132</v>
      </c>
      <c r="C11" s="42"/>
      <c r="I11" s="3" t="s">
        <v>5</v>
      </c>
      <c r="J11" s="43"/>
      <c r="K11" s="43"/>
      <c r="AD11" s="34"/>
    </row>
    <row r="12" spans="1:30" x14ac:dyDescent="0.6">
      <c r="A12" s="3" t="s">
        <v>37</v>
      </c>
      <c r="B12" s="46">
        <f>B15+(6-WEEKDAY(B15,3))</f>
        <v>45165</v>
      </c>
      <c r="C12" s="46"/>
      <c r="D12" s="40">
        <f>B12</f>
        <v>45165</v>
      </c>
      <c r="AD12" s="35"/>
    </row>
    <row r="13" spans="1:30" x14ac:dyDescent="0.6">
      <c r="A13" s="3" t="s">
        <v>38</v>
      </c>
      <c r="B13" s="44">
        <f>B12-B11</f>
        <v>33</v>
      </c>
      <c r="C13" s="44"/>
    </row>
    <row r="15" spans="1:30" x14ac:dyDescent="0.6">
      <c r="A15" s="3" t="s">
        <v>45</v>
      </c>
      <c r="B15" s="42">
        <f>DATE(YEAR(B11),MONTH(B11)+1,23)</f>
        <v>45161</v>
      </c>
      <c r="C15" s="42"/>
      <c r="U15" s="34"/>
      <c r="X15" s="39"/>
    </row>
    <row r="16" spans="1:30" x14ac:dyDescent="0.3">
      <c r="A16" s="41">
        <f ca="1">DAY(EOMONTH(B11,0))-DAY(NOW())</f>
        <v>26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1:24" x14ac:dyDescent="0.6">
      <c r="A17" s="3">
        <f ca="1">7-WEEKDAY(NOW(),2)</f>
        <v>5</v>
      </c>
      <c r="B17" s="33">
        <f>DATEDIF(X17,X18,"d")</f>
        <v>30</v>
      </c>
      <c r="X17" s="34">
        <v>44738</v>
      </c>
    </row>
    <row r="18" spans="1:24" x14ac:dyDescent="0.6">
      <c r="B18" s="18">
        <f>B12-B11</f>
        <v>33</v>
      </c>
      <c r="X18" s="34">
        <v>44768</v>
      </c>
    </row>
    <row r="20" spans="1:24" x14ac:dyDescent="0.6">
      <c r="A20" t="str">
        <f>ROUND(C2,0)&amp;" pcs. "&amp;SUBSTITUTE(A2,CHAR(10),"")&amp;", "</f>
        <v xml:space="preserve">49 pcs. Gliclazide MR 60mg (D) (Zeltine MR/Melandy-MR), </v>
      </c>
    </row>
    <row r="21" spans="1:24" x14ac:dyDescent="0.6">
      <c r="A21" t="str">
        <f t="shared" ref="A21:A27" si="5">A20&amp;CHAR(10)&amp;ROUND(C3,0)&amp;" pcs. "&amp;SUBSTITUTE(A3,CHAR(10),"")&amp;", "</f>
        <v xml:space="preserve">49 pcs. Gliclazide MR 60mg (D) (Zeltine MR/Melandy-MR), 
64 pcs. Carvedilol (H) 25mg/tab (BetaCard, Cardipres), </v>
      </c>
    </row>
    <row r="22" spans="1:24" x14ac:dyDescent="0.6">
      <c r="A22" t="str">
        <f t="shared" si="5"/>
        <v xml:space="preserve">49 pcs. Gliclazide MR 60mg (D) (Zeltine MR/Melandy-MR), 
64 pcs. Carvedilol (H) 25mg/tab (BetaCard, Cardipres), 
0 pcs. Subutril-Valsartan(V) 200mgVymada, </v>
      </c>
    </row>
    <row r="23" spans="1:24" x14ac:dyDescent="0.6">
      <c r="A23" t="str">
        <f t="shared" si="5"/>
        <v xml:space="preserve">49 pcs. Gliclazide MR 60mg (D) (Zeltine MR/Melandy-MR), 
64 pcs. Carvedilol (H) 25mg/tab (BetaCard, Cardipres), 
0 pcs. Subutril-Valsartan(V) 200mgVymada, 
32 pcs. Empagliflozin Linagliptin 25mg/10mg(D)(25mg/5mg(D)), </v>
      </c>
    </row>
    <row r="24" spans="1:24" x14ac:dyDescent="0.6">
      <c r="A24" t="str">
        <f t="shared" si="5"/>
        <v xml:space="preserve">49 pcs. Gliclazide MR 60mg (D) (Zeltine MR/Melandy-MR), 
64 pcs. Carvedilol (H) 25mg/tab (BetaCard, Cardipres), 
0 pcs. Subutril-Valsartan(V) 200mgVymada, 
32 pcs. Empagliflozin Linagliptin 25mg/10mg(D)(25mg/5mg(D)), 
31 pcs. Metformin Hydrochloride 1000mg (Proglutrol), </v>
      </c>
    </row>
    <row r="25" spans="1:24" x14ac:dyDescent="0.6">
      <c r="A25" t="str">
        <f t="shared" si="5"/>
        <v xml:space="preserve">49 pcs. Gliclazide MR 60mg (D) (Zeltine MR/Melandy-MR), 
64 pcs. Carvedilol (H) 25mg/tab (BetaCard, Cardipres), 
0 pcs. Subutril-Valsartan(V) 200mgVymada, 
32 pcs. Empagliflozin Linagliptin 25mg/10mg(D)(25mg/5mg(D)), 
31 pcs. Metformin Hydrochloride 1000mg (Proglutrol), 
32 pcs. Aspirin 80mg, </v>
      </c>
    </row>
    <row r="26" spans="1:24" x14ac:dyDescent="0.6">
      <c r="A26" t="str">
        <f t="shared" si="5"/>
        <v xml:space="preserve">49 pcs. Gliclazide MR 60mg (D) (Zeltine MR/Melandy-MR), 
64 pcs. Carvedilol (H) 25mg/tab (BetaCard, Cardipres), 
0 pcs. Subutril-Valsartan(V) 200mgVymada, 
32 pcs. Empagliflozin Linagliptin 25mg/10mg(D)(25mg/5mg(D)), 
31 pcs. Metformin Hydrochloride 1000mg (Proglutrol), 
32 pcs. Aspirin 80mg, 
33 pcs. Rosuvastatin (Rovista/Rosewin) 5mg, </v>
      </c>
    </row>
    <row r="27" spans="1:24" ht="123" customHeight="1" x14ac:dyDescent="0.3">
      <c r="A27" s="45" t="str">
        <f t="shared" si="5"/>
        <v xml:space="preserve">49 pcs. Gliclazide MR 60mg (D) (Zeltine MR/Melandy-MR), 
64 pcs. Carvedilol (H) 25mg/tab (BetaCard, Cardipres), 
0 pcs. Subutril-Valsartan(V) 200mgVymada, 
32 pcs. Empagliflozin Linagliptin 25mg/10mg(D)(25mg/5mg(D)), 
31 pcs. Metformin Hydrochloride 1000mg (Proglutrol), 
32 pcs. Aspirin 80mg, 
33 pcs. Rosuvastatin (Rovista/Rosewin) 5mg, 
16 pcs. Spironolactone ½ 50mg (W), </v>
      </c>
      <c r="B27" s="45"/>
      <c r="C27" s="45"/>
      <c r="D27" s="45"/>
      <c r="E27" s="45"/>
      <c r="F27" s="45"/>
      <c r="G27" s="45"/>
      <c r="H27" s="45"/>
      <c r="I27" s="45"/>
    </row>
    <row r="28" spans="1:24" ht="111" customHeight="1" x14ac:dyDescent="0.3">
      <c r="A28" s="47" t="s">
        <v>101</v>
      </c>
      <c r="B28" s="47"/>
      <c r="C28" s="47"/>
      <c r="D28" s="47"/>
      <c r="E28" s="47"/>
      <c r="F28" s="47"/>
      <c r="G28" s="47"/>
      <c r="H28" s="47"/>
      <c r="I28" s="47"/>
    </row>
  </sheetData>
  <mergeCells count="8">
    <mergeCell ref="A27:I27"/>
    <mergeCell ref="A28:I28"/>
    <mergeCell ref="B11:C11"/>
    <mergeCell ref="J11:K11"/>
    <mergeCell ref="B12:C12"/>
    <mergeCell ref="B13:C13"/>
    <mergeCell ref="B15:C15"/>
    <mergeCell ref="A16:AA16"/>
  </mergeCells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20230128</vt:lpstr>
      <vt:lpstr>20230226</vt:lpstr>
      <vt:lpstr>20230326</vt:lpstr>
      <vt:lpstr>20230413</vt:lpstr>
      <vt:lpstr>20230423</vt:lpstr>
      <vt:lpstr>SMS</vt:lpstr>
      <vt:lpstr>20230527</vt:lpstr>
      <vt:lpstr>20230624</vt:lpstr>
      <vt:lpstr>20230724</vt:lpstr>
      <vt:lpstr>20230824</vt:lpstr>
      <vt:lpstr>20230831</vt:lpstr>
      <vt:lpstr>Sheet1</vt:lpstr>
      <vt:lpstr>'20230128'!Print_Area</vt:lpstr>
      <vt:lpstr>'20230226'!Print_Area</vt:lpstr>
      <vt:lpstr>'20230326'!Print_Area</vt:lpstr>
      <vt:lpstr>'20230413'!Print_Area</vt:lpstr>
      <vt:lpstr>'20230423'!Print_Area</vt:lpstr>
      <vt:lpstr>'20230527'!Print_Area</vt:lpstr>
      <vt:lpstr>'20230624'!Print_Area</vt:lpstr>
      <vt:lpstr>'20230724'!Print_Area</vt:lpstr>
      <vt:lpstr>'20230824'!Print_Area</vt:lpstr>
      <vt:lpstr>'20230831'!Print_Area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Go, Zachary</cp:lastModifiedBy>
  <cp:lastPrinted>2022-05-28T08:33:11Z</cp:lastPrinted>
  <dcterms:created xsi:type="dcterms:W3CDTF">2020-06-05T07:04:14Z</dcterms:created>
  <dcterms:modified xsi:type="dcterms:W3CDTF">2024-11-05T08:01:41Z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2023-09-17T15:08:18Z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9439f7bc-fbf2-411a-9cfe-98f00259d714</vt:lpwstr>
  </property>
  <property fmtid="{D5CDD505-2E9C-101B-9397-08002B2CF9AE}" pid="8" name="MSIP_Label_a7295cc1-d279-42ac-ab4d-3b0f4fece050_ContentBits">
    <vt:lpwstr>0</vt:lpwstr>
  </property>
</Properties>
</file>