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zheny\Documents\"/>
    </mc:Choice>
  </mc:AlternateContent>
  <xr:revisionPtr revIDLastSave="0" documentId="8_{81C70F18-35C3-4C49-9CB0-7ECF31165738}" xr6:coauthVersionLast="47" xr6:coauthVersionMax="47" xr10:uidLastSave="{00000000-0000-0000-0000-000000000000}"/>
  <bookViews>
    <workbookView xWindow="-108" yWindow="-108" windowWidth="23256" windowHeight="12576" tabRatio="733" activeTab="8" xr2:uid="{00000000-000D-0000-FFFF-FFFF00000000}"/>
  </bookViews>
  <sheets>
    <sheet name="Ученики" sheetId="2" r:id="rId1"/>
    <sheet name="Баланс" sheetId="6" r:id="rId2"/>
    <sheet name="Расходы" sheetId="15" r:id="rId3"/>
    <sheet name="Перерасчет" sheetId="10" r:id="rId4"/>
    <sheet name="Прочий доход" sheetId="13" r:id="rId5"/>
    <sheet name="Посещаемость" sheetId="12" r:id="rId6"/>
    <sheet name="Наименования" sheetId="14" r:id="rId7"/>
    <sheet name="Итог" sheetId="16" r:id="rId8"/>
    <sheet name="Зп" sheetId="17" r:id="rId9"/>
  </sheets>
  <definedNames>
    <definedName name="_xlnm._FilterDatabase" localSheetId="5" hidden="1">Посещаемость!$A$1:$AH$112</definedName>
    <definedName name="Администратор_наименования">Работники_наименования[Администратор]</definedName>
    <definedName name="Группы_наименования">Наименования_наименования[Группы]</definedName>
    <definedName name="Доходы_наименования">Таблица20[Доходы]</definedName>
    <definedName name="ожидаемая_ученики">Доходы[Ожидаемая]</definedName>
    <definedName name="прибыль_ученики">Доходы[Прибыль]</definedName>
    <definedName name="ФИО_ученики">Доходы[Ф.И.О.]</definedName>
    <definedName name="Хореограф_наименования">Работники_наименования[Хореограф]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0" i="2" l="1"/>
  <c r="A12" i="15"/>
  <c r="A11" i="15"/>
  <c r="A10" i="15" l="1"/>
  <c r="A9" i="15"/>
  <c r="F57" i="2" l="1"/>
  <c r="A8" i="15" l="1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B43" i="17"/>
  <c r="A7" i="15" l="1"/>
  <c r="E6" i="15"/>
  <c r="A20" i="13"/>
  <c r="H20" i="13"/>
  <c r="J4" i="10" l="1"/>
  <c r="J3" i="10"/>
  <c r="A38" i="2"/>
  <c r="J38" i="2"/>
  <c r="L38" i="2"/>
  <c r="K38" i="2" s="1"/>
  <c r="AI13" i="12"/>
  <c r="AI12" i="12"/>
  <c r="AI45" i="12"/>
  <c r="AI79" i="12"/>
  <c r="AI76" i="12"/>
  <c r="AI35" i="12"/>
  <c r="AI94" i="12"/>
  <c r="AI117" i="12"/>
  <c r="AI118" i="12"/>
  <c r="AI111" i="12" l="1"/>
  <c r="AI110" i="12"/>
  <c r="AI109" i="12"/>
  <c r="A19" i="13"/>
  <c r="H19" i="13"/>
  <c r="F21" i="13"/>
  <c r="A18" i="13"/>
  <c r="H18" i="13"/>
  <c r="A17" i="13" l="1"/>
  <c r="H17" i="13"/>
  <c r="A47" i="2"/>
  <c r="J47" i="2"/>
  <c r="L47" i="2"/>
  <c r="K47" i="2" s="1"/>
  <c r="A16" i="13"/>
  <c r="H16" i="13"/>
  <c r="A15" i="13"/>
  <c r="H15" i="13"/>
  <c r="A37" i="2"/>
  <c r="J37" i="2"/>
  <c r="L37" i="2"/>
  <c r="K37" i="2" s="1"/>
  <c r="A13" i="13"/>
  <c r="H13" i="13"/>
  <c r="A6" i="15" l="1"/>
  <c r="A5" i="15"/>
  <c r="A4" i="15"/>
  <c r="A53" i="2" l="1"/>
  <c r="J53" i="2"/>
  <c r="L53" i="2"/>
  <c r="K53" i="2" s="1"/>
  <c r="A14" i="13"/>
  <c r="H14" i="13"/>
  <c r="A41" i="2"/>
  <c r="J41" i="2"/>
  <c r="L41" i="2"/>
  <c r="K41" i="2" s="1"/>
  <c r="A55" i="2"/>
  <c r="J55" i="2"/>
  <c r="L55" i="2"/>
  <c r="K55" i="2" s="1"/>
  <c r="A12" i="13"/>
  <c r="H12" i="13"/>
  <c r="A93" i="2" l="1"/>
  <c r="J93" i="2"/>
  <c r="L93" i="2"/>
  <c r="K93" i="2" s="1"/>
  <c r="A11" i="13"/>
  <c r="H11" i="13"/>
  <c r="A10" i="13"/>
  <c r="H10" i="13"/>
  <c r="A9" i="13"/>
  <c r="H9" i="13"/>
  <c r="A8" i="13"/>
  <c r="H8" i="13"/>
  <c r="A36" i="2"/>
  <c r="J36" i="2"/>
  <c r="L36" i="2"/>
  <c r="K36" i="2" s="1"/>
  <c r="A40" i="2" l="1"/>
  <c r="J40" i="2"/>
  <c r="L40" i="2"/>
  <c r="K40" i="2" s="1"/>
  <c r="A7" i="13"/>
  <c r="H7" i="13"/>
  <c r="A34" i="2"/>
  <c r="J34" i="2"/>
  <c r="L34" i="2"/>
  <c r="K34" i="2" s="1"/>
  <c r="A6" i="13" l="1"/>
  <c r="H6" i="13"/>
  <c r="A66" i="2"/>
  <c r="J66" i="2"/>
  <c r="L66" i="2"/>
  <c r="K66" i="2" s="1"/>
  <c r="A5" i="13"/>
  <c r="H5" i="13"/>
  <c r="AI6" i="12" l="1"/>
  <c r="AI14" i="12"/>
  <c r="A40" i="17"/>
  <c r="AI92" i="12"/>
  <c r="A111" i="2"/>
  <c r="J111" i="2"/>
  <c r="L111" i="2"/>
  <c r="K111" i="2" s="1"/>
  <c r="P10" i="16"/>
  <c r="T40" i="17"/>
  <c r="AD40" i="17"/>
  <c r="K40" i="17"/>
  <c r="J40" i="17"/>
  <c r="Q40" i="17"/>
  <c r="AE40" i="17"/>
  <c r="L40" i="17"/>
  <c r="R40" i="17"/>
  <c r="P40" i="17"/>
  <c r="Y40" i="17"/>
  <c r="AF40" i="17"/>
  <c r="D40" i="17"/>
  <c r="F40" i="17"/>
  <c r="N40" i="17"/>
  <c r="E40" i="17"/>
  <c r="U40" i="17"/>
  <c r="AC40" i="17"/>
  <c r="C40" i="17"/>
  <c r="X40" i="17"/>
  <c r="O40" i="17"/>
  <c r="I40" i="17"/>
  <c r="S40" i="17"/>
  <c r="M40" i="17"/>
  <c r="G40" i="17"/>
  <c r="W40" i="17"/>
  <c r="B40" i="17"/>
  <c r="Z40" i="17"/>
  <c r="AB40" i="17"/>
  <c r="AA40" i="17"/>
  <c r="V40" i="17"/>
  <c r="H40" i="17"/>
  <c r="A4" i="13" l="1"/>
  <c r="H4" i="13"/>
  <c r="P11" i="16" l="1"/>
  <c r="O11" i="16"/>
  <c r="O10" i="16"/>
  <c r="R45" i="17" l="1"/>
  <c r="B45" i="17"/>
  <c r="AG44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AG43" i="17"/>
  <c r="A39" i="17"/>
  <c r="A38" i="17"/>
  <c r="A37" i="17"/>
  <c r="A36" i="17"/>
  <c r="A35" i="17"/>
  <c r="A34" i="17"/>
  <c r="A33" i="17"/>
  <c r="A30" i="17"/>
  <c r="A29" i="17"/>
  <c r="A26" i="17"/>
  <c r="A25" i="17"/>
  <c r="A24" i="17"/>
  <c r="A23" i="17"/>
  <c r="B12" i="16"/>
  <c r="Q11" i="16"/>
  <c r="B11" i="16"/>
  <c r="Q10" i="16"/>
  <c r="H10" i="16"/>
  <c r="B10" i="16"/>
  <c r="H9" i="16"/>
  <c r="B8" i="16"/>
  <c r="H7" i="16"/>
  <c r="B6" i="16"/>
  <c r="H5" i="16"/>
  <c r="B5" i="16"/>
  <c r="H4" i="16"/>
  <c r="B4" i="16"/>
  <c r="H2" i="16"/>
  <c r="B2" i="16"/>
  <c r="J10" i="16" l="1"/>
  <c r="K5" i="16"/>
  <c r="J4" i="16"/>
  <c r="J9" i="16"/>
  <c r="K4" i="16"/>
  <c r="K6" i="16" s="1"/>
  <c r="K10" i="16"/>
  <c r="K9" i="16"/>
  <c r="K11" i="16" s="1"/>
  <c r="J5" i="16"/>
  <c r="E11" i="16"/>
  <c r="E12" i="16"/>
  <c r="D12" i="16"/>
  <c r="F12" i="16" s="1"/>
  <c r="D10" i="16"/>
  <c r="F10" i="16" s="1"/>
  <c r="E10" i="16"/>
  <c r="D11" i="16"/>
  <c r="AG45" i="17"/>
  <c r="D4" i="16"/>
  <c r="E4" i="16"/>
  <c r="D6" i="16"/>
  <c r="E5" i="16"/>
  <c r="E6" i="16"/>
  <c r="D5" i="16"/>
  <c r="L5" i="16"/>
  <c r="L10" i="16"/>
  <c r="F11" i="16" l="1"/>
  <c r="E13" i="16"/>
  <c r="K12" i="16"/>
  <c r="P4" i="16" s="1"/>
  <c r="D13" i="16"/>
  <c r="AG40" i="17"/>
  <c r="F6" i="16"/>
  <c r="F13" i="16"/>
  <c r="E7" i="16"/>
  <c r="E14" i="16" s="1"/>
  <c r="P9" i="16"/>
  <c r="F5" i="16"/>
  <c r="D7" i="16"/>
  <c r="D14" i="16" s="1"/>
  <c r="F4" i="16"/>
  <c r="J11" i="16"/>
  <c r="L9" i="16"/>
  <c r="L11" i="16" s="1"/>
  <c r="L4" i="16"/>
  <c r="L6" i="16" s="1"/>
  <c r="J6" i="16"/>
  <c r="F7" i="16" l="1"/>
  <c r="F14" i="16" s="1"/>
  <c r="J12" i="16"/>
  <c r="O4" i="16" s="1"/>
  <c r="Q4" i="16" s="1"/>
  <c r="P3" i="16"/>
  <c r="P5" i="16" s="1"/>
  <c r="P8" i="16"/>
  <c r="P12" i="16" s="1"/>
  <c r="O3" i="16"/>
  <c r="O8" i="16"/>
  <c r="L12" i="16"/>
  <c r="AC36" i="17"/>
  <c r="Z36" i="17"/>
  <c r="AA29" i="17"/>
  <c r="AE25" i="17"/>
  <c r="H25" i="17"/>
  <c r="R24" i="17"/>
  <c r="Q35" i="17"/>
  <c r="N33" i="17"/>
  <c r="O24" i="17"/>
  <c r="B33" i="17"/>
  <c r="AF39" i="17"/>
  <c r="I30" i="17"/>
  <c r="G23" i="17"/>
  <c r="K23" i="17"/>
  <c r="AA24" i="17"/>
  <c r="P29" i="17"/>
  <c r="S38" i="17"/>
  <c r="F23" i="17"/>
  <c r="N30" i="17"/>
  <c r="K25" i="17"/>
  <c r="AF36" i="17"/>
  <c r="V24" i="17"/>
  <c r="S26" i="17"/>
  <c r="T37" i="17"/>
  <c r="Y38" i="17"/>
  <c r="J29" i="17"/>
  <c r="P39" i="17"/>
  <c r="C39" i="17"/>
  <c r="Y25" i="17"/>
  <c r="C35" i="17"/>
  <c r="AF29" i="17"/>
  <c r="O34" i="17"/>
  <c r="Q24" i="17"/>
  <c r="R35" i="17"/>
  <c r="T34" i="17"/>
  <c r="V26" i="17"/>
  <c r="U26" i="17"/>
  <c r="E37" i="17"/>
  <c r="N39" i="17"/>
  <c r="AD33" i="17"/>
  <c r="Z29" i="17"/>
  <c r="Z38" i="17"/>
  <c r="B39" i="17"/>
  <c r="X33" i="17"/>
  <c r="R25" i="17"/>
  <c r="M39" i="17"/>
  <c r="E29" i="17"/>
  <c r="L30" i="17"/>
  <c r="W36" i="17"/>
  <c r="T33" i="17"/>
  <c r="S24" i="17"/>
  <c r="H26" i="17"/>
  <c r="AD36" i="17"/>
  <c r="K29" i="17"/>
  <c r="K26" i="17"/>
  <c r="AE23" i="17"/>
  <c r="C34" i="17"/>
  <c r="AA34" i="17"/>
  <c r="R34" i="17"/>
  <c r="M23" i="17"/>
  <c r="Q37" i="17"/>
  <c r="H29" i="17"/>
  <c r="X39" i="17"/>
  <c r="E36" i="17"/>
  <c r="V36" i="17"/>
  <c r="F35" i="17"/>
  <c r="AB36" i="17"/>
  <c r="B25" i="17"/>
  <c r="Q26" i="17"/>
  <c r="S39" i="17"/>
  <c r="AE37" i="17"/>
  <c r="AA36" i="17"/>
  <c r="AC24" i="17"/>
  <c r="W33" i="17"/>
  <c r="I37" i="17"/>
  <c r="V39" i="17"/>
  <c r="J38" i="17"/>
  <c r="AC23" i="17"/>
  <c r="L39" i="17"/>
  <c r="O26" i="17"/>
  <c r="J34" i="17"/>
  <c r="P34" i="17"/>
  <c r="AD29" i="17"/>
  <c r="AC25" i="17"/>
  <c r="C25" i="17"/>
  <c r="T39" i="17"/>
  <c r="AE38" i="17"/>
  <c r="AF23" i="17"/>
  <c r="J24" i="17"/>
  <c r="AB38" i="17"/>
  <c r="M26" i="17"/>
  <c r="D33" i="17"/>
  <c r="AA25" i="17"/>
  <c r="O23" i="17"/>
  <c r="U23" i="17"/>
  <c r="J36" i="17"/>
  <c r="B24" i="17"/>
  <c r="L37" i="17"/>
  <c r="AF25" i="17"/>
  <c r="F39" i="17"/>
  <c r="D29" i="17"/>
  <c r="G38" i="17"/>
  <c r="Z35" i="17"/>
  <c r="T24" i="17"/>
  <c r="Q34" i="17"/>
  <c r="AE39" i="17"/>
  <c r="K24" i="17"/>
  <c r="T38" i="17"/>
  <c r="U24" i="17"/>
  <c r="W38" i="17"/>
  <c r="Q33" i="17"/>
  <c r="AC39" i="17"/>
  <c r="Y23" i="17"/>
  <c r="W26" i="17"/>
  <c r="L25" i="17"/>
  <c r="U36" i="17"/>
  <c r="I29" i="17"/>
  <c r="AF34" i="17"/>
  <c r="H35" i="17"/>
  <c r="X25" i="17"/>
  <c r="H24" i="17"/>
  <c r="D25" i="17"/>
  <c r="W35" i="17"/>
  <c r="K38" i="17"/>
  <c r="M35" i="17"/>
  <c r="V23" i="17"/>
  <c r="AF24" i="17"/>
  <c r="Y39" i="17"/>
  <c r="AC33" i="17"/>
  <c r="O37" i="17"/>
  <c r="P23" i="17"/>
  <c r="P26" i="17"/>
  <c r="L33" i="17"/>
  <c r="C37" i="17"/>
  <c r="AB24" i="17"/>
  <c r="N37" i="17"/>
  <c r="G36" i="17"/>
  <c r="I33" i="17"/>
  <c r="X30" i="17"/>
  <c r="P38" i="17"/>
  <c r="X24" i="17"/>
  <c r="L35" i="17"/>
  <c r="AE34" i="17"/>
  <c r="P35" i="17"/>
  <c r="AD34" i="17"/>
  <c r="B23" i="17"/>
  <c r="R36" i="17"/>
  <c r="Y26" i="17"/>
  <c r="I26" i="17"/>
  <c r="B38" i="17"/>
  <c r="AC30" i="17"/>
  <c r="AF38" i="17"/>
  <c r="N26" i="17"/>
  <c r="AA38" i="17"/>
  <c r="G33" i="17"/>
  <c r="X37" i="17"/>
  <c r="Y35" i="17"/>
  <c r="T36" i="17"/>
  <c r="N29" i="17"/>
  <c r="Y34" i="17"/>
  <c r="Z23" i="17"/>
  <c r="R39" i="17"/>
  <c r="H39" i="17"/>
  <c r="M24" i="17"/>
  <c r="R23" i="17"/>
  <c r="W37" i="17"/>
  <c r="H23" i="17"/>
  <c r="Z34" i="17"/>
  <c r="S29" i="17"/>
  <c r="W39" i="17"/>
  <c r="N36" i="17"/>
  <c r="L29" i="17"/>
  <c r="E25" i="17"/>
  <c r="T23" i="17"/>
  <c r="O35" i="17"/>
  <c r="J23" i="17"/>
  <c r="B35" i="17"/>
  <c r="F33" i="17"/>
  <c r="D35" i="17"/>
  <c r="F25" i="17"/>
  <c r="AB34" i="17"/>
  <c r="E39" i="17"/>
  <c r="M33" i="17"/>
  <c r="B37" i="17"/>
  <c r="N25" i="17"/>
  <c r="J35" i="17"/>
  <c r="AB30" i="17"/>
  <c r="J26" i="17"/>
  <c r="AA23" i="17"/>
  <c r="AD25" i="17"/>
  <c r="H36" i="17"/>
  <c r="B30" i="17"/>
  <c r="AE24" i="17"/>
  <c r="F38" i="17"/>
  <c r="L26" i="17"/>
  <c r="M25" i="17"/>
  <c r="C23" i="17"/>
  <c r="AC38" i="17"/>
  <c r="E24" i="17"/>
  <c r="I38" i="17"/>
  <c r="G37" i="17"/>
  <c r="AD37" i="17"/>
  <c r="AC35" i="17"/>
  <c r="P30" i="17"/>
  <c r="U35" i="17"/>
  <c r="AA26" i="17"/>
  <c r="AB37" i="17"/>
  <c r="D26" i="17"/>
  <c r="C30" i="17"/>
  <c r="Z26" i="17"/>
  <c r="U33" i="17"/>
  <c r="Q30" i="17"/>
  <c r="K37" i="17"/>
  <c r="Y24" i="17"/>
  <c r="I24" i="17"/>
  <c r="T30" i="17"/>
  <c r="X34" i="17"/>
  <c r="G26" i="17"/>
  <c r="X23" i="17"/>
  <c r="P36" i="17"/>
  <c r="C29" i="17"/>
  <c r="AE30" i="17"/>
  <c r="E30" i="17"/>
  <c r="AB33" i="17"/>
  <c r="I34" i="17"/>
  <c r="AD30" i="17"/>
  <c r="V33" i="17"/>
  <c r="R37" i="17"/>
  <c r="R38" i="17"/>
  <c r="R30" i="17"/>
  <c r="O25" i="17"/>
  <c r="W29" i="17"/>
  <c r="X26" i="17"/>
  <c r="B34" i="17"/>
  <c r="V34" i="17"/>
  <c r="J33" i="17"/>
  <c r="AB23" i="17"/>
  <c r="X36" i="17"/>
  <c r="E35" i="17"/>
  <c r="U37" i="17"/>
  <c r="E23" i="17"/>
  <c r="Y36" i="17"/>
  <c r="C38" i="17"/>
  <c r="AD38" i="17"/>
  <c r="AC37" i="17"/>
  <c r="F34" i="17"/>
  <c r="AD35" i="17"/>
  <c r="AB26" i="17"/>
  <c r="O39" i="17"/>
  <c r="V37" i="17"/>
  <c r="N35" i="17"/>
  <c r="AA39" i="17"/>
  <c r="K34" i="17"/>
  <c r="AF26" i="17"/>
  <c r="Z30" i="17"/>
  <c r="G24" i="17"/>
  <c r="S30" i="17"/>
  <c r="U34" i="17"/>
  <c r="L34" i="17"/>
  <c r="AD23" i="17"/>
  <c r="K33" i="17"/>
  <c r="AE35" i="17"/>
  <c r="Y33" i="17"/>
  <c r="O33" i="17"/>
  <c r="K36" i="17"/>
  <c r="E33" i="17"/>
  <c r="T35" i="17"/>
  <c r="L38" i="17"/>
  <c r="Q29" i="17"/>
  <c r="AF30" i="17"/>
  <c r="K39" i="17"/>
  <c r="AA37" i="17"/>
  <c r="U25" i="17"/>
  <c r="C33" i="17"/>
  <c r="C36" i="17"/>
  <c r="L24" i="17"/>
  <c r="B36" i="17"/>
  <c r="S37" i="17"/>
  <c r="D23" i="17"/>
  <c r="I36" i="17"/>
  <c r="AA30" i="17"/>
  <c r="D38" i="17"/>
  <c r="W25" i="17"/>
  <c r="Z33" i="17"/>
  <c r="G35" i="17"/>
  <c r="AF37" i="17"/>
  <c r="AD26" i="17"/>
  <c r="H38" i="17"/>
  <c r="T29" i="17"/>
  <c r="S33" i="17"/>
  <c r="G34" i="17"/>
  <c r="V38" i="17"/>
  <c r="AF33" i="17"/>
  <c r="T26" i="17"/>
  <c r="G29" i="17"/>
  <c r="U30" i="17"/>
  <c r="F36" i="17"/>
  <c r="P24" i="17"/>
  <c r="Z25" i="17"/>
  <c r="Z37" i="17"/>
  <c r="U29" i="17"/>
  <c r="K35" i="17"/>
  <c r="T25" i="17"/>
  <c r="S23" i="17"/>
  <c r="M36" i="17"/>
  <c r="F29" i="17"/>
  <c r="U38" i="17"/>
  <c r="R29" i="17"/>
  <c r="AB39" i="17"/>
  <c r="J30" i="17"/>
  <c r="B29" i="17"/>
  <c r="Q39" i="17"/>
  <c r="Y30" i="17"/>
  <c r="AA35" i="17"/>
  <c r="E26" i="17"/>
  <c r="D39" i="17"/>
  <c r="V25" i="17"/>
  <c r="D34" i="17"/>
  <c r="L23" i="17"/>
  <c r="G30" i="17"/>
  <c r="D24" i="17"/>
  <c r="W23" i="17"/>
  <c r="N38" i="17"/>
  <c r="X38" i="17"/>
  <c r="V35" i="17"/>
  <c r="G25" i="17"/>
  <c r="M34" i="17"/>
  <c r="F26" i="17"/>
  <c r="V29" i="17"/>
  <c r="Q23" i="17"/>
  <c r="E38" i="17"/>
  <c r="X35" i="17"/>
  <c r="AB25" i="17"/>
  <c r="B26" i="17"/>
  <c r="K30" i="17"/>
  <c r="X29" i="17"/>
  <c r="Q38" i="17"/>
  <c r="I23" i="17"/>
  <c r="L36" i="17"/>
  <c r="G39" i="17"/>
  <c r="P37" i="17"/>
  <c r="M38" i="17"/>
  <c r="S36" i="17"/>
  <c r="O29" i="17"/>
  <c r="H30" i="17"/>
  <c r="W30" i="17"/>
  <c r="O36" i="17"/>
  <c r="V30" i="17"/>
  <c r="J39" i="17"/>
  <c r="Y37" i="17"/>
  <c r="Z39" i="17"/>
  <c r="AE26" i="17"/>
  <c r="D30" i="17"/>
  <c r="W34" i="17"/>
  <c r="N23" i="17"/>
  <c r="C24" i="17"/>
  <c r="R33" i="17"/>
  <c r="AC29" i="17"/>
  <c r="AE29" i="17"/>
  <c r="P33" i="17"/>
  <c r="AD24" i="17"/>
  <c r="W24" i="17"/>
  <c r="AB29" i="17"/>
  <c r="N34" i="17"/>
  <c r="H34" i="17"/>
  <c r="Z24" i="17"/>
  <c r="AC34" i="17"/>
  <c r="AC26" i="17"/>
  <c r="AA33" i="17"/>
  <c r="O38" i="17"/>
  <c r="AD39" i="17"/>
  <c r="R26" i="17"/>
  <c r="Q36" i="17"/>
  <c r="I25" i="17"/>
  <c r="AE36" i="17"/>
  <c r="M29" i="17"/>
  <c r="D37" i="17"/>
  <c r="O30" i="17"/>
  <c r="H37" i="17"/>
  <c r="F30" i="17"/>
  <c r="M30" i="17"/>
  <c r="P25" i="17"/>
  <c r="AF35" i="17"/>
  <c r="AE33" i="17"/>
  <c r="AB35" i="17"/>
  <c r="S34" i="17"/>
  <c r="F37" i="17"/>
  <c r="Q25" i="17"/>
  <c r="J25" i="17"/>
  <c r="S25" i="17"/>
  <c r="M37" i="17"/>
  <c r="U39" i="17"/>
  <c r="N24" i="17"/>
  <c r="D36" i="17"/>
  <c r="E34" i="17"/>
  <c r="H33" i="17"/>
  <c r="I35" i="17"/>
  <c r="C26" i="17"/>
  <c r="I39" i="17"/>
  <c r="J37" i="17"/>
  <c r="S35" i="17"/>
  <c r="F24" i="17"/>
  <c r="Y29" i="17"/>
  <c r="AG29" i="17" l="1"/>
  <c r="B31" i="17"/>
  <c r="J27" i="17"/>
  <c r="I41" i="17"/>
  <c r="AG37" i="17"/>
  <c r="B27" i="17"/>
  <c r="AG23" i="17"/>
  <c r="R41" i="17"/>
  <c r="H27" i="17"/>
  <c r="AC41" i="17"/>
  <c r="AG30" i="17"/>
  <c r="X31" i="17"/>
  <c r="T41" i="17"/>
  <c r="N41" i="17"/>
  <c r="Y41" i="17"/>
  <c r="AD41" i="17"/>
  <c r="O31" i="17"/>
  <c r="AD31" i="17"/>
  <c r="AF41" i="17"/>
  <c r="M41" i="17"/>
  <c r="P31" i="17"/>
  <c r="C27" i="17"/>
  <c r="J41" i="17"/>
  <c r="I31" i="17"/>
  <c r="Z41" i="17"/>
  <c r="U31" i="17"/>
  <c r="W41" i="17"/>
  <c r="C31" i="17"/>
  <c r="Y31" i="17"/>
  <c r="T27" i="17"/>
  <c r="R27" i="17"/>
  <c r="AG26" i="17"/>
  <c r="K41" i="17"/>
  <c r="AF31" i="17"/>
  <c r="N31" i="17"/>
  <c r="R31" i="17"/>
  <c r="N27" i="17"/>
  <c r="Q31" i="17"/>
  <c r="AG24" i="17"/>
  <c r="AE27" i="17"/>
  <c r="AG36" i="17"/>
  <c r="K27" i="17"/>
  <c r="U41" i="17"/>
  <c r="AC27" i="17"/>
  <c r="V27" i="17"/>
  <c r="AA27" i="17"/>
  <c r="AF27" i="17"/>
  <c r="E31" i="17"/>
  <c r="Y27" i="17"/>
  <c r="G41" i="17"/>
  <c r="AD27" i="17"/>
  <c r="X27" i="17"/>
  <c r="L31" i="17"/>
  <c r="AB31" i="17"/>
  <c r="V41" i="17"/>
  <c r="S41" i="17"/>
  <c r="G27" i="17"/>
  <c r="AB27" i="17"/>
  <c r="H41" i="17"/>
  <c r="AG38" i="17"/>
  <c r="F31" i="17"/>
  <c r="L41" i="17"/>
  <c r="U27" i="17"/>
  <c r="T31" i="17"/>
  <c r="K31" i="17"/>
  <c r="AG34" i="17"/>
  <c r="H31" i="17"/>
  <c r="Q41" i="17"/>
  <c r="AA31" i="17"/>
  <c r="D27" i="17"/>
  <c r="E41" i="17"/>
  <c r="W27" i="17"/>
  <c r="O27" i="17"/>
  <c r="F41" i="17"/>
  <c r="C41" i="17"/>
  <c r="C46" i="17" s="1"/>
  <c r="Z27" i="17"/>
  <c r="AA41" i="17"/>
  <c r="Z31" i="17"/>
  <c r="Q27" i="17"/>
  <c r="X41" i="17"/>
  <c r="I27" i="17"/>
  <c r="L27" i="17"/>
  <c r="L46" i="17" s="1"/>
  <c r="S27" i="17"/>
  <c r="S31" i="17"/>
  <c r="P41" i="17"/>
  <c r="P27" i="17"/>
  <c r="AB41" i="17"/>
  <c r="AG35" i="17"/>
  <c r="B41" i="17"/>
  <c r="AG33" i="17"/>
  <c r="D31" i="17"/>
  <c r="W31" i="17"/>
  <c r="M27" i="17"/>
  <c r="E27" i="17"/>
  <c r="F27" i="17"/>
  <c r="V31" i="17"/>
  <c r="AG39" i="17"/>
  <c r="G31" i="17"/>
  <c r="AG25" i="17"/>
  <c r="AG27" i="17" s="1"/>
  <c r="M31" i="17"/>
  <c r="J31" i="17"/>
  <c r="AC31" i="17"/>
  <c r="AE31" i="17"/>
  <c r="O41" i="17"/>
  <c r="AE41" i="17"/>
  <c r="D41" i="17"/>
  <c r="O46" i="17"/>
  <c r="R46" i="17"/>
  <c r="Z46" i="17"/>
  <c r="O9" i="16"/>
  <c r="Q9" i="16" s="1"/>
  <c r="Q8" i="16"/>
  <c r="Q3" i="16"/>
  <c r="Q5" i="16" s="1"/>
  <c r="O5" i="16"/>
  <c r="H2" i="13"/>
  <c r="H3" i="13"/>
  <c r="S46" i="17" l="1"/>
  <c r="H46" i="17"/>
  <c r="I46" i="17"/>
  <c r="Q46" i="17"/>
  <c r="G46" i="17"/>
  <c r="J46" i="17"/>
  <c r="AA46" i="17"/>
  <c r="V46" i="17"/>
  <c r="Y46" i="17"/>
  <c r="M46" i="17"/>
  <c r="W46" i="17"/>
  <c r="D46" i="17"/>
  <c r="E46" i="17"/>
  <c r="AG41" i="17"/>
  <c r="P46" i="17"/>
  <c r="F46" i="17"/>
  <c r="AB46" i="17"/>
  <c r="K46" i="17"/>
  <c r="U46" i="17"/>
  <c r="AD46" i="17"/>
  <c r="T46" i="17"/>
  <c r="X46" i="17"/>
  <c r="AC46" i="17"/>
  <c r="AE46" i="17"/>
  <c r="AF46" i="17"/>
  <c r="B46" i="17"/>
  <c r="N46" i="17"/>
  <c r="AG31" i="17"/>
  <c r="O12" i="16"/>
  <c r="Q12" i="16"/>
  <c r="A3" i="13"/>
  <c r="A65" i="2"/>
  <c r="J65" i="2"/>
  <c r="L65" i="2"/>
  <c r="K65" i="2" s="1"/>
  <c r="A33" i="2"/>
  <c r="J33" i="2"/>
  <c r="L33" i="2"/>
  <c r="K33" i="2" s="1"/>
  <c r="AG46" i="17" l="1"/>
  <c r="A3" i="15"/>
  <c r="AI100" i="12" l="1"/>
  <c r="A112" i="2"/>
  <c r="J112" i="2"/>
  <c r="L112" i="2"/>
  <c r="K112" i="2" s="1"/>
  <c r="B117" i="12" l="1"/>
  <c r="B118" i="12"/>
  <c r="AI17" i="12" l="1"/>
  <c r="AI31" i="12"/>
  <c r="AI42" i="12"/>
  <c r="AI44" i="12"/>
  <c r="AI29" i="12"/>
  <c r="AI24" i="12"/>
  <c r="AI4" i="12"/>
  <c r="AI8" i="12"/>
  <c r="AI15" i="12"/>
  <c r="AI16" i="12"/>
  <c r="AI20" i="12"/>
  <c r="AI26" i="12"/>
  <c r="AI18" i="12"/>
  <c r="AI33" i="12"/>
  <c r="AI3" i="12"/>
  <c r="AI9" i="12"/>
  <c r="AI10" i="12"/>
  <c r="AI21" i="12"/>
  <c r="AI23" i="12"/>
  <c r="AI37" i="12"/>
  <c r="AI40" i="12"/>
  <c r="AI41" i="12"/>
  <c r="AI46" i="12"/>
  <c r="AI27" i="12"/>
  <c r="AI32" i="12"/>
  <c r="AI2" i="12"/>
  <c r="AI11" i="12"/>
  <c r="AI22" i="12"/>
  <c r="AI30" i="12"/>
  <c r="AI25" i="12"/>
  <c r="AI28" i="12"/>
  <c r="AI34" i="12"/>
  <c r="AI38" i="12"/>
  <c r="AI43" i="12"/>
  <c r="AI7" i="12"/>
  <c r="AI19" i="12"/>
  <c r="AI36" i="12"/>
  <c r="AI39" i="12"/>
  <c r="AI48" i="12"/>
  <c r="AI49" i="12"/>
  <c r="AI52" i="12"/>
  <c r="AI47" i="12"/>
  <c r="AI50" i="12"/>
  <c r="AI51" i="12"/>
  <c r="AI53" i="12"/>
  <c r="AI54" i="12"/>
  <c r="AI55" i="12"/>
  <c r="AI56" i="12"/>
  <c r="AI5" i="12"/>
  <c r="AI57" i="12"/>
  <c r="AI58" i="12"/>
  <c r="AI59" i="12"/>
  <c r="AI60" i="12"/>
  <c r="AI61" i="12"/>
  <c r="AI65" i="12"/>
  <c r="AI66" i="12"/>
  <c r="AI62" i="12"/>
  <c r="AI63" i="12"/>
  <c r="AI64" i="12"/>
  <c r="AI67" i="12"/>
  <c r="AI91" i="12"/>
  <c r="AI68" i="12"/>
  <c r="AI90" i="12"/>
  <c r="AI74" i="12"/>
  <c r="AI78" i="12"/>
  <c r="AI77" i="12"/>
  <c r="AI70" i="12"/>
  <c r="AI69" i="12"/>
  <c r="AI71" i="12"/>
  <c r="AI72" i="12"/>
  <c r="AI73" i="12"/>
  <c r="AI75" i="12"/>
  <c r="AI84" i="12"/>
  <c r="AI86" i="12"/>
  <c r="AI81" i="12"/>
  <c r="AI88" i="12"/>
  <c r="AI80" i="12"/>
  <c r="AI82" i="12"/>
  <c r="AI83" i="12"/>
  <c r="AI85" i="12"/>
  <c r="AI87" i="12"/>
  <c r="AI89" i="12"/>
  <c r="AI96" i="12"/>
  <c r="AI95" i="12"/>
  <c r="AI99" i="12"/>
  <c r="AI101" i="12"/>
  <c r="AI93" i="12"/>
  <c r="AI97" i="12"/>
  <c r="AI98" i="12"/>
  <c r="AI102" i="12"/>
  <c r="AI103" i="12"/>
  <c r="AI106" i="12"/>
  <c r="AI104" i="12"/>
  <c r="AI105" i="12"/>
  <c r="AI107" i="12"/>
  <c r="AI108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D112" i="12"/>
  <c r="AI112" i="12" l="1"/>
  <c r="E13" i="15"/>
  <c r="A2" i="15"/>
  <c r="B21" i="13" l="1" a="1"/>
  <c r="B21" i="13" s="1"/>
  <c r="A2" i="13"/>
  <c r="A87" i="2" l="1"/>
  <c r="J87" i="2"/>
  <c r="L87" i="2"/>
  <c r="K87" i="2" s="1"/>
  <c r="C113" i="2" l="1" a="1"/>
  <c r="C113" i="2" s="1"/>
  <c r="D113" i="2" a="1"/>
  <c r="D113" i="2" s="1"/>
  <c r="A17" i="2"/>
  <c r="J17" i="2"/>
  <c r="L17" i="2"/>
  <c r="K17" i="2" s="1"/>
  <c r="A28" i="2"/>
  <c r="J28" i="2"/>
  <c r="L28" i="2"/>
  <c r="K28" i="2" s="1"/>
  <c r="A81" i="2"/>
  <c r="J81" i="2"/>
  <c r="L81" i="2"/>
  <c r="K81" i="2" s="1"/>
  <c r="A3" i="2"/>
  <c r="J3" i="2"/>
  <c r="L3" i="2"/>
  <c r="K3" i="2" s="1"/>
  <c r="A6" i="2"/>
  <c r="J6" i="2"/>
  <c r="L6" i="2"/>
  <c r="K6" i="2" s="1"/>
  <c r="A25" i="2"/>
  <c r="J25" i="2"/>
  <c r="L25" i="2"/>
  <c r="K25" i="2" s="1"/>
  <c r="A108" i="2"/>
  <c r="J108" i="2"/>
  <c r="L108" i="2"/>
  <c r="K108" i="2" s="1"/>
  <c r="A90" i="2"/>
  <c r="J90" i="2"/>
  <c r="L90" i="2"/>
  <c r="K90" i="2" s="1"/>
  <c r="A35" i="2"/>
  <c r="J35" i="2"/>
  <c r="L35" i="2"/>
  <c r="K35" i="2" s="1"/>
  <c r="A109" i="2"/>
  <c r="J109" i="2"/>
  <c r="L109" i="2"/>
  <c r="K109" i="2" s="1"/>
  <c r="A8" i="2"/>
  <c r="J8" i="2"/>
  <c r="L8" i="2"/>
  <c r="K8" i="2" s="1"/>
  <c r="A19" i="2"/>
  <c r="J19" i="2"/>
  <c r="L19" i="2"/>
  <c r="K19" i="2" s="1"/>
  <c r="A99" i="2"/>
  <c r="J99" i="2"/>
  <c r="L99" i="2"/>
  <c r="K99" i="2" s="1"/>
  <c r="A57" i="2"/>
  <c r="J57" i="2"/>
  <c r="L57" i="2"/>
  <c r="K57" i="2" s="1"/>
  <c r="L98" i="2"/>
  <c r="K98" i="2" s="1"/>
  <c r="J98" i="2"/>
  <c r="A98" i="2"/>
  <c r="A52" i="2"/>
  <c r="A45" i="2"/>
  <c r="A106" i="2"/>
  <c r="A22" i="2"/>
  <c r="J52" i="2"/>
  <c r="J45" i="2"/>
  <c r="J106" i="2"/>
  <c r="J22" i="2"/>
  <c r="L52" i="2"/>
  <c r="K52" i="2" s="1"/>
  <c r="L45" i="2"/>
  <c r="K45" i="2" s="1"/>
  <c r="L106" i="2"/>
  <c r="K106" i="2" s="1"/>
  <c r="L22" i="2"/>
  <c r="K22" i="2" s="1"/>
  <c r="A14" i="2" l="1"/>
  <c r="A16" i="2"/>
  <c r="A94" i="2"/>
  <c r="A49" i="2"/>
  <c r="A50" i="2"/>
  <c r="J14" i="2"/>
  <c r="J16" i="2"/>
  <c r="J94" i="2"/>
  <c r="J49" i="2"/>
  <c r="J50" i="2"/>
  <c r="L14" i="2"/>
  <c r="K14" i="2" s="1"/>
  <c r="L16" i="2"/>
  <c r="K16" i="2" s="1"/>
  <c r="L94" i="2"/>
  <c r="K94" i="2" s="1"/>
  <c r="L49" i="2"/>
  <c r="K49" i="2" s="1"/>
  <c r="L50" i="2"/>
  <c r="K50" i="2" s="1"/>
  <c r="A10" i="2"/>
  <c r="J10" i="2"/>
  <c r="L10" i="2"/>
  <c r="K10" i="2" s="1"/>
  <c r="A78" i="2"/>
  <c r="A79" i="2"/>
  <c r="A15" i="2"/>
  <c r="A82" i="2"/>
  <c r="A48" i="2"/>
  <c r="A83" i="2"/>
  <c r="A46" i="2"/>
  <c r="A85" i="2"/>
  <c r="A86" i="2"/>
  <c r="A88" i="2"/>
  <c r="A20" i="2"/>
  <c r="A21" i="2"/>
  <c r="A89" i="2"/>
  <c r="A43" i="2"/>
  <c r="A23" i="2"/>
  <c r="A92" i="2"/>
  <c r="A96" i="2"/>
  <c r="A97" i="2"/>
  <c r="A100" i="2"/>
  <c r="A26" i="2"/>
  <c r="A27" i="2"/>
  <c r="A29" i="2"/>
  <c r="A67" i="2"/>
  <c r="A105" i="2"/>
  <c r="A51" i="2"/>
  <c r="A32" i="2"/>
  <c r="A107" i="2"/>
  <c r="J78" i="2"/>
  <c r="J79" i="2"/>
  <c r="J15" i="2"/>
  <c r="J82" i="2"/>
  <c r="J48" i="2"/>
  <c r="J83" i="2"/>
  <c r="J46" i="2"/>
  <c r="J85" i="2"/>
  <c r="J86" i="2"/>
  <c r="J88" i="2"/>
  <c r="J20" i="2"/>
  <c r="J21" i="2"/>
  <c r="J89" i="2"/>
  <c r="J43" i="2"/>
  <c r="J23" i="2"/>
  <c r="J92" i="2"/>
  <c r="J96" i="2"/>
  <c r="J97" i="2"/>
  <c r="J100" i="2"/>
  <c r="J26" i="2"/>
  <c r="J27" i="2"/>
  <c r="J29" i="2"/>
  <c r="J67" i="2"/>
  <c r="J105" i="2"/>
  <c r="J51" i="2"/>
  <c r="J32" i="2"/>
  <c r="J107" i="2"/>
  <c r="L78" i="2"/>
  <c r="K78" i="2" s="1"/>
  <c r="L79" i="2"/>
  <c r="K79" i="2" s="1"/>
  <c r="L15" i="2"/>
  <c r="K15" i="2" s="1"/>
  <c r="L82" i="2"/>
  <c r="K82" i="2" s="1"/>
  <c r="L48" i="2"/>
  <c r="K48" i="2" s="1"/>
  <c r="L83" i="2"/>
  <c r="K83" i="2" s="1"/>
  <c r="L46" i="2"/>
  <c r="K46" i="2" s="1"/>
  <c r="L85" i="2"/>
  <c r="K85" i="2" s="1"/>
  <c r="L86" i="2"/>
  <c r="K86" i="2" s="1"/>
  <c r="L88" i="2"/>
  <c r="K88" i="2" s="1"/>
  <c r="L20" i="2"/>
  <c r="K20" i="2" s="1"/>
  <c r="L21" i="2"/>
  <c r="K21" i="2" s="1"/>
  <c r="L89" i="2"/>
  <c r="K89" i="2" s="1"/>
  <c r="L43" i="2"/>
  <c r="K43" i="2" s="1"/>
  <c r="L23" i="2"/>
  <c r="K23" i="2" s="1"/>
  <c r="L92" i="2"/>
  <c r="K92" i="2" s="1"/>
  <c r="L96" i="2"/>
  <c r="K96" i="2" s="1"/>
  <c r="L97" i="2"/>
  <c r="K97" i="2" s="1"/>
  <c r="L100" i="2"/>
  <c r="K100" i="2" s="1"/>
  <c r="L26" i="2"/>
  <c r="K26" i="2" s="1"/>
  <c r="L27" i="2"/>
  <c r="K27" i="2" s="1"/>
  <c r="L29" i="2"/>
  <c r="K29" i="2" s="1"/>
  <c r="L67" i="2"/>
  <c r="K67" i="2" s="1"/>
  <c r="L105" i="2"/>
  <c r="K105" i="2" s="1"/>
  <c r="L51" i="2"/>
  <c r="K51" i="2" s="1"/>
  <c r="L32" i="2"/>
  <c r="K32" i="2" s="1"/>
  <c r="L107" i="2"/>
  <c r="K107" i="2" s="1"/>
  <c r="A30" i="2" l="1"/>
  <c r="A54" i="2"/>
  <c r="A44" i="2"/>
  <c r="A2" i="2"/>
  <c r="A58" i="2"/>
  <c r="A68" i="2"/>
  <c r="A72" i="2"/>
  <c r="A73" i="2"/>
  <c r="A74" i="2"/>
  <c r="A76" i="2"/>
  <c r="A11" i="2"/>
  <c r="A13" i="2"/>
  <c r="A69" i="2"/>
  <c r="J30" i="2"/>
  <c r="J54" i="2"/>
  <c r="J2" i="2"/>
  <c r="J58" i="2"/>
  <c r="J68" i="2"/>
  <c r="J72" i="2"/>
  <c r="J73" i="2"/>
  <c r="J74" i="2"/>
  <c r="J76" i="2"/>
  <c r="J11" i="2"/>
  <c r="J13" i="2"/>
  <c r="J69" i="2"/>
  <c r="L30" i="2"/>
  <c r="K30" i="2" s="1"/>
  <c r="L54" i="2"/>
  <c r="K54" i="2" s="1"/>
  <c r="L2" i="2"/>
  <c r="K2" i="2" s="1"/>
  <c r="L58" i="2"/>
  <c r="K58" i="2" s="1"/>
  <c r="L68" i="2"/>
  <c r="K68" i="2" s="1"/>
  <c r="L72" i="2"/>
  <c r="K72" i="2" s="1"/>
  <c r="L73" i="2"/>
  <c r="K73" i="2" s="1"/>
  <c r="L74" i="2"/>
  <c r="K74" i="2" s="1"/>
  <c r="L76" i="2"/>
  <c r="K76" i="2" s="1"/>
  <c r="L11" i="2"/>
  <c r="K11" i="2" s="1"/>
  <c r="L13" i="2"/>
  <c r="K13" i="2" s="1"/>
  <c r="L69" i="2"/>
  <c r="K69" i="2" s="1"/>
  <c r="J44" i="2"/>
  <c r="L44" i="2"/>
  <c r="K44" i="2" s="1"/>
  <c r="A101" i="2"/>
  <c r="A62" i="2"/>
  <c r="A63" i="2"/>
  <c r="A102" i="2"/>
  <c r="A103" i="2"/>
  <c r="A104" i="2"/>
  <c r="A31" i="2"/>
  <c r="A42" i="2"/>
  <c r="A56" i="2"/>
  <c r="A110" i="2"/>
  <c r="J101" i="2"/>
  <c r="J62" i="2"/>
  <c r="J63" i="2"/>
  <c r="J102" i="2"/>
  <c r="J103" i="2"/>
  <c r="J104" i="2"/>
  <c r="J31" i="2"/>
  <c r="J42" i="2"/>
  <c r="J56" i="2"/>
  <c r="J110" i="2"/>
  <c r="L101" i="2"/>
  <c r="K101" i="2" s="1"/>
  <c r="L62" i="2"/>
  <c r="K62" i="2" s="1"/>
  <c r="L63" i="2"/>
  <c r="K63" i="2" s="1"/>
  <c r="L102" i="2"/>
  <c r="K102" i="2" s="1"/>
  <c r="L103" i="2"/>
  <c r="K103" i="2" s="1"/>
  <c r="L104" i="2"/>
  <c r="K104" i="2" s="1"/>
  <c r="L31" i="2"/>
  <c r="K31" i="2" s="1"/>
  <c r="L42" i="2"/>
  <c r="K42" i="2" s="1"/>
  <c r="L56" i="2"/>
  <c r="K56" i="2" s="1"/>
  <c r="L110" i="2"/>
  <c r="K110" i="2" s="1"/>
  <c r="A12" i="2" l="1"/>
  <c r="A64" i="2"/>
  <c r="A39" i="2"/>
  <c r="A80" i="2"/>
  <c r="A18" i="2"/>
  <c r="A84" i="2"/>
  <c r="A60" i="2"/>
  <c r="A91" i="2"/>
  <c r="A24" i="2"/>
  <c r="A95" i="2"/>
  <c r="J12" i="2"/>
  <c r="J64" i="2"/>
  <c r="J39" i="2"/>
  <c r="J80" i="2"/>
  <c r="J18" i="2"/>
  <c r="J84" i="2"/>
  <c r="J60" i="2"/>
  <c r="J91" i="2"/>
  <c r="J24" i="2"/>
  <c r="J95" i="2"/>
  <c r="L12" i="2"/>
  <c r="K12" i="2" s="1"/>
  <c r="L64" i="2"/>
  <c r="K64" i="2" s="1"/>
  <c r="L39" i="2"/>
  <c r="K39" i="2" s="1"/>
  <c r="K80" i="2"/>
  <c r="L18" i="2"/>
  <c r="K18" i="2" s="1"/>
  <c r="L84" i="2"/>
  <c r="K84" i="2" s="1"/>
  <c r="L60" i="2"/>
  <c r="K60" i="2" s="1"/>
  <c r="L91" i="2"/>
  <c r="K91" i="2" s="1"/>
  <c r="L24" i="2"/>
  <c r="K24" i="2" s="1"/>
  <c r="L95" i="2"/>
  <c r="K95" i="2" s="1"/>
  <c r="A5" i="2"/>
  <c r="A7" i="2"/>
  <c r="A75" i="2"/>
  <c r="A59" i="2"/>
  <c r="A9" i="2"/>
  <c r="A77" i="2"/>
  <c r="J5" i="2"/>
  <c r="J7" i="2"/>
  <c r="J75" i="2"/>
  <c r="J59" i="2"/>
  <c r="J9" i="2"/>
  <c r="J77" i="2"/>
  <c r="L5" i="2"/>
  <c r="K5" i="2" s="1"/>
  <c r="L7" i="2"/>
  <c r="K7" i="2" s="1"/>
  <c r="L75" i="2"/>
  <c r="K75" i="2" s="1"/>
  <c r="L59" i="2"/>
  <c r="K59" i="2" s="1"/>
  <c r="L9" i="2"/>
  <c r="K9" i="2" s="1"/>
  <c r="L77" i="2"/>
  <c r="K77" i="2" s="1"/>
  <c r="A61" i="2"/>
  <c r="J61" i="2"/>
  <c r="L61" i="2"/>
  <c r="K61" i="2" s="1"/>
  <c r="A4" i="2"/>
  <c r="J4" i="2"/>
  <c r="L4" i="2"/>
  <c r="K4" i="2" s="1"/>
  <c r="A71" i="2"/>
  <c r="J71" i="2"/>
  <c r="L71" i="2"/>
  <c r="K71" i="2" s="1"/>
  <c r="C21" i="13" l="1" a="1"/>
  <c r="C21" i="13" s="1"/>
  <c r="D21" i="13"/>
  <c r="H21" i="13" l="1"/>
  <c r="L70" i="2" l="1"/>
  <c r="A70" i="2"/>
  <c r="J70" i="2" l="1"/>
  <c r="K70" i="2"/>
  <c r="E113" i="2"/>
  <c r="H113" i="2"/>
  <c r="F113" i="2"/>
  <c r="J113" i="2" l="1"/>
  <c r="K11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Дата последней оплаты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Опишите, почему ожидаемая прибыль не соответствует абонименту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Дата последней оплаты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460EFEBD-8B7B-457D-8BCC-8C68F3661F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Сюда пишется 16 число месяца. Для января 2020 будет: 16.01.2020</t>
        </r>
      </text>
    </comment>
    <comment ref="H2" authorId="0" shapeId="0" xr:uid="{94E72E49-4B88-4D24-8EB5-4AE19BFEE6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Сюда пишется 16 число месяца. Для января 2020 будет: 16.01.2020</t>
        </r>
      </text>
    </comment>
    <comment ref="H7" authorId="0" shapeId="0" xr:uid="{EB930A8D-3A3B-4264-AD29-227D7D7AD5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Сюда пишется конец месяца. Для января 2020 будет 31.01.2020
</t>
        </r>
      </text>
    </comment>
    <comment ref="B8" authorId="0" shapeId="0" xr:uid="{0C8E6BE3-DB8A-41B7-A6A9-31CD0307D1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Сюда пишется конец месяца. Для января 2020 будет 31.01.2020
</t>
        </r>
      </text>
    </comment>
  </commentList>
</comments>
</file>

<file path=xl/sharedStrings.xml><?xml version="1.0" encoding="utf-8"?>
<sst xmlns="http://schemas.openxmlformats.org/spreadsheetml/2006/main" count="1699" uniqueCount="273">
  <si>
    <t>Всего</t>
  </si>
  <si>
    <t>№ п.п.</t>
  </si>
  <si>
    <t>Ф.И.О.</t>
  </si>
  <si>
    <t>Дата</t>
  </si>
  <si>
    <t>Безналичная</t>
  </si>
  <si>
    <t>Наличная</t>
  </si>
  <si>
    <t>Примечание</t>
  </si>
  <si>
    <t>Прибыль</t>
  </si>
  <si>
    <t>Дата2</t>
  </si>
  <si>
    <t>Хореограф</t>
  </si>
  <si>
    <t>Казанцева Е.М.</t>
  </si>
  <si>
    <t>Группа</t>
  </si>
  <si>
    <t>Ожидаемая</t>
  </si>
  <si>
    <t>Абонимент</t>
  </si>
  <si>
    <t>Итог</t>
  </si>
  <si>
    <t>Причина</t>
  </si>
  <si>
    <t>Сумма</t>
  </si>
  <si>
    <t>Период</t>
  </si>
  <si>
    <t>Если заболел  в начале месяца все равно надо оплатить 3600 перерасчет только в следующем месяце</t>
  </si>
  <si>
    <t>Баланс</t>
  </si>
  <si>
    <t>Перерасчет на следующий месяц</t>
  </si>
  <si>
    <t>Долг на следующий месяц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</si>
  <si>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</si>
  <si>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</si>
  <si>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</si>
  <si>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</si>
  <si>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</si>
  <si>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</si>
  <si>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</si>
  <si>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</si>
  <si>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</si>
  <si>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</si>
  <si>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</si>
  <si>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</si>
  <si>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</si>
  <si>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</si>
  <si>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</si>
  <si>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</si>
  <si>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</si>
  <si>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</si>
  <si>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</si>
  <si>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</si>
  <si>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</si>
  <si>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</si>
  <si>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</si>
  <si>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</si>
  <si>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</si>
  <si>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</si>
  <si>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</si>
  <si>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</si>
  <si>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</si>
  <si>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</si>
  <si>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</si>
  <si>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Наименование</t>
  </si>
  <si>
    <t>Дневник</t>
  </si>
  <si>
    <t>Аренда</t>
  </si>
  <si>
    <t>Яковлева В.Г.</t>
  </si>
  <si>
    <t>3 - 4</t>
  </si>
  <si>
    <t>4 - 5</t>
  </si>
  <si>
    <t>5 - 6</t>
  </si>
  <si>
    <t>7 - 9 У</t>
  </si>
  <si>
    <t>7 - 9 В</t>
  </si>
  <si>
    <t>10 - 14</t>
  </si>
  <si>
    <t xml:space="preserve">ДХ 14 + </t>
  </si>
  <si>
    <t xml:space="preserve">ДХ 18 + </t>
  </si>
  <si>
    <t>ЛС У</t>
  </si>
  <si>
    <t>ЛС В</t>
  </si>
  <si>
    <t>РД</t>
  </si>
  <si>
    <t>Парные</t>
  </si>
  <si>
    <t>Барькарь Ванесса</t>
  </si>
  <si>
    <t>Группы</t>
  </si>
  <si>
    <t>ДФ</t>
  </si>
  <si>
    <t>Павленко А.А.</t>
  </si>
  <si>
    <t>Способ</t>
  </si>
  <si>
    <t>Администратор</t>
  </si>
  <si>
    <t>Доходы</t>
  </si>
  <si>
    <t>Ипатова Е.А.</t>
  </si>
  <si>
    <t>Остаток с перерасчета за прошлый месяц</t>
  </si>
  <si>
    <t>Долг за прошлый месяц</t>
  </si>
  <si>
    <t>Индивид</t>
  </si>
  <si>
    <t xml:space="preserve">заплатила за следующий месяц </t>
  </si>
  <si>
    <t>январь</t>
  </si>
  <si>
    <t>не заплатила всю сумму</t>
  </si>
  <si>
    <t>Оплата телефона</t>
  </si>
  <si>
    <t xml:space="preserve">Размещение объявления </t>
  </si>
  <si>
    <t>+</t>
  </si>
  <si>
    <t>03.02, 01.02</t>
  </si>
  <si>
    <t>Доходы по ученикам</t>
  </si>
  <si>
    <t>Доходы за прочие услуги</t>
  </si>
  <si>
    <t>Общий доход</t>
  </si>
  <si>
    <t>Источник</t>
  </si>
  <si>
    <t>Наличный</t>
  </si>
  <si>
    <t>Безналичный</t>
  </si>
  <si>
    <t>№</t>
  </si>
  <si>
    <t>Общая прибыль</t>
  </si>
  <si>
    <t>Расходы</t>
  </si>
  <si>
    <t>Заработная плата</t>
  </si>
  <si>
    <t>Названия строк</t>
  </si>
  <si>
    <t>01_</t>
  </si>
  <si>
    <t>02_</t>
  </si>
  <si>
    <t>03_</t>
  </si>
  <si>
    <t>04_</t>
  </si>
  <si>
    <t>05_</t>
  </si>
  <si>
    <t>06_</t>
  </si>
  <si>
    <t>07_</t>
  </si>
  <si>
    <t>08_</t>
  </si>
  <si>
    <t>09_</t>
  </si>
  <si>
    <t>10_</t>
  </si>
  <si>
    <t>11_</t>
  </si>
  <si>
    <t>12_</t>
  </si>
  <si>
    <t>13_</t>
  </si>
  <si>
    <t>14_</t>
  </si>
  <si>
    <t>15_</t>
  </si>
  <si>
    <t>16_</t>
  </si>
  <si>
    <t>17_</t>
  </si>
  <si>
    <t>18_</t>
  </si>
  <si>
    <t>19_</t>
  </si>
  <si>
    <t>20_</t>
  </si>
  <si>
    <t>21_</t>
  </si>
  <si>
    <t>22_</t>
  </si>
  <si>
    <t>23_</t>
  </si>
  <si>
    <t>24_</t>
  </si>
  <si>
    <t>25_</t>
  </si>
  <si>
    <t>26_</t>
  </si>
  <si>
    <t>27_</t>
  </si>
  <si>
    <t>28_</t>
  </si>
  <si>
    <t>29_</t>
  </si>
  <si>
    <t>30_</t>
  </si>
  <si>
    <t>31_</t>
  </si>
  <si>
    <t>Общий итог</t>
  </si>
  <si>
    <t>ФИО администра</t>
  </si>
  <si>
    <t>ФИО</t>
  </si>
  <si>
    <t>Должность</t>
  </si>
  <si>
    <t>Нал</t>
  </si>
  <si>
    <t>Безнал</t>
  </si>
  <si>
    <t>Кирилл</t>
  </si>
  <si>
    <t>Иванова Настя</t>
  </si>
  <si>
    <t>переплата на следующий месяц</t>
  </si>
  <si>
    <t>февраль</t>
  </si>
  <si>
    <t>покупка к 14 февраля</t>
  </si>
  <si>
    <t>реклама к 14.02</t>
  </si>
  <si>
    <t>кирилл</t>
  </si>
  <si>
    <t>08.02.2021, 10.02,22.02</t>
  </si>
  <si>
    <t>уборка</t>
  </si>
  <si>
    <t>болезнь</t>
  </si>
  <si>
    <t>П</t>
  </si>
  <si>
    <t>долг</t>
  </si>
  <si>
    <t>2.02 4.02</t>
  </si>
  <si>
    <t>больничный</t>
  </si>
  <si>
    <t>перенос одного занятия</t>
  </si>
  <si>
    <t>19.02.2021 28.02</t>
  </si>
  <si>
    <t>17,20.02, 24.02</t>
  </si>
  <si>
    <t>смм зп</t>
  </si>
  <si>
    <t>03.02.2021, 08.02,15.02,17.02</t>
  </si>
  <si>
    <t>Ком.пл</t>
  </si>
  <si>
    <t xml:space="preserve">Реклама соц сети </t>
  </si>
  <si>
    <t>10,6,17,20,27</t>
  </si>
  <si>
    <t>, 24.02</t>
  </si>
  <si>
    <t>,26.02</t>
  </si>
  <si>
    <t>Подарки на 8 марта</t>
  </si>
  <si>
    <t>Возврат за закрытие группы</t>
  </si>
  <si>
    <t>!</t>
  </si>
  <si>
    <t>Кольцова Милана</t>
  </si>
  <si>
    <t>Скворцова Анна</t>
  </si>
  <si>
    <t>Иванов Иван</t>
  </si>
  <si>
    <t>Минаева Мирослава</t>
  </si>
  <si>
    <t>Шубин Леонид</t>
  </si>
  <si>
    <t>Белов Андрей</t>
  </si>
  <si>
    <t>Егорова Ксения</t>
  </si>
  <si>
    <t>Бирюков Иван</t>
  </si>
  <si>
    <t>Шувалова Марьям</t>
  </si>
  <si>
    <t>Голубева Мария</t>
  </si>
  <si>
    <t>Зайцева Виктория</t>
  </si>
  <si>
    <t>Матвеева Лидия</t>
  </si>
  <si>
    <t>Белоусова Алёна</t>
  </si>
  <si>
    <t>Петрова Мария</t>
  </si>
  <si>
    <t>Климов Роман</t>
  </si>
  <si>
    <t>Волков Роман</t>
  </si>
  <si>
    <t>Румянцев Михаил</t>
  </si>
  <si>
    <t>Попова Алёна</t>
  </si>
  <si>
    <t>Смирнов Артём</t>
  </si>
  <si>
    <t>Королева Ульяна</t>
  </si>
  <si>
    <t>Громов Матвей</t>
  </si>
  <si>
    <t>Емельянов Михаил</t>
  </si>
  <si>
    <t>Никулин Матвей</t>
  </si>
  <si>
    <t>Максимова Мирослава</t>
  </si>
  <si>
    <t>Герасимов Владислав</t>
  </si>
  <si>
    <t>Дубровина Ольга</t>
  </si>
  <si>
    <t>Логинов Александр</t>
  </si>
  <si>
    <t>Чернова Анна</t>
  </si>
  <si>
    <t>Никитин Георгий</t>
  </si>
  <si>
    <t>Аникин Андрей</t>
  </si>
  <si>
    <t>Баранова Дарья</t>
  </si>
  <si>
    <t>Филатов Глеб</t>
  </si>
  <si>
    <t>Корнева Евгения</t>
  </si>
  <si>
    <t>Фомин Алексей</t>
  </si>
  <si>
    <t>Чернышева Ирина</t>
  </si>
  <si>
    <t>Михайлова Ева</t>
  </si>
  <si>
    <t>Никитина Сара</t>
  </si>
  <si>
    <t>Леонова Екатерина</t>
  </si>
  <si>
    <t>Поздняков Егор</t>
  </si>
  <si>
    <t>Смирнов Максим</t>
  </si>
  <si>
    <t>Власов Артём</t>
  </si>
  <si>
    <t>Васильева Агата</t>
  </si>
  <si>
    <t>Федоров Руслан</t>
  </si>
  <si>
    <t>Горбачева Антонина</t>
  </si>
  <si>
    <t>Журавлев Евгений</t>
  </si>
  <si>
    <t>Жданова Милана</t>
  </si>
  <si>
    <t>Шевелев Александр</t>
  </si>
  <si>
    <t>Губанова Арина</t>
  </si>
  <si>
    <t>Романов Михаил</t>
  </si>
  <si>
    <t>Щербаков Максим</t>
  </si>
  <si>
    <t>Новиков Владислав</t>
  </si>
  <si>
    <t>Полякова Аврора</t>
  </si>
  <si>
    <t>Орлова Кира</t>
  </si>
  <si>
    <t>Ларин Роман</t>
  </si>
  <si>
    <t>Долгова Варвара</t>
  </si>
  <si>
    <t>Алексеева Ксения</t>
  </si>
  <si>
    <t>Иванова Полина</t>
  </si>
  <si>
    <t>Быкова Виктория</t>
  </si>
  <si>
    <t>Трофимова Мария</t>
  </si>
  <si>
    <t>Игнатов Матвей</t>
  </si>
  <si>
    <t>Новиков Константин</t>
  </si>
  <si>
    <t>Павлов Тихон</t>
  </si>
  <si>
    <t>Филиппов Валерий</t>
  </si>
  <si>
    <t>Свиридова Анна</t>
  </si>
  <si>
    <t>Петровский Егор</t>
  </si>
  <si>
    <t>Иванов Илья</t>
  </si>
  <si>
    <t>Александрова Майя</t>
  </si>
  <si>
    <t>Журавлев Михаил</t>
  </si>
  <si>
    <t>Рыбакова Анна</t>
  </si>
  <si>
    <t>Соловьева Антонина</t>
  </si>
  <si>
    <t>Соколова Полина</t>
  </si>
  <si>
    <t>Филатова Ульяна</t>
  </si>
  <si>
    <t>Грекова Есения</t>
  </si>
  <si>
    <t>Данилов Константин</t>
  </si>
  <si>
    <t>Малышева Амелия</t>
  </si>
  <si>
    <t>Исаков Лев</t>
  </si>
  <si>
    <t>Алексеева Софья</t>
  </si>
  <si>
    <t>Щербакова Ева</t>
  </si>
  <si>
    <t>Александрова Анастасия</t>
  </si>
  <si>
    <t>Копылов Роберт</t>
  </si>
  <si>
    <t>Белякова Валерия</t>
  </si>
  <si>
    <t>Кузьмина Мия</t>
  </si>
  <si>
    <t>Крылова Валерия</t>
  </si>
  <si>
    <t>Ковалев Матвей</t>
  </si>
  <si>
    <t>Моисеева Ярослава</t>
  </si>
  <si>
    <t>Полякова Полина</t>
  </si>
  <si>
    <t>Иванова Арина</t>
  </si>
  <si>
    <t>Киселева Алёна</t>
  </si>
  <si>
    <t>Егорова Анастасия</t>
  </si>
  <si>
    <t>Дементьева Александра</t>
  </si>
  <si>
    <t>Егорова Аделина</t>
  </si>
  <si>
    <t>Денисова Анна</t>
  </si>
  <si>
    <t>Кузнецова София</t>
  </si>
  <si>
    <t>Казаков Матвей</t>
  </si>
  <si>
    <t>Булатова Вера</t>
  </si>
  <si>
    <t>Родионов Анатолий</t>
  </si>
  <si>
    <t>Большакова Алина</t>
  </si>
  <si>
    <t>Лобанов Елисей</t>
  </si>
  <si>
    <t>Ильина Арина</t>
  </si>
  <si>
    <t>Толкачев Николай</t>
  </si>
  <si>
    <t>Сычева Ярослава</t>
  </si>
  <si>
    <t>Щербакова Елизавета</t>
  </si>
  <si>
    <t>Морозова Дарья</t>
  </si>
  <si>
    <t>Ильина Мария</t>
  </si>
  <si>
    <t>Иванов Андрей</t>
  </si>
  <si>
    <t>Никитина Алина</t>
  </si>
  <si>
    <t>Давыдов Дмитрий</t>
  </si>
  <si>
    <t>Тарасова Милана</t>
  </si>
  <si>
    <t>Константинова Яна</t>
  </si>
  <si>
    <t>Миронов Максим</t>
  </si>
  <si>
    <t>Котова Фатима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</si>
</sst>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0" borderId="0"/>
    <xf numFmtId="0" fontId="7" fillId="0" borderId="0"/>
    <xf numFmtId="0" fontId="1" fillId="9" borderId="0" applyNumberFormat="0" applyBorder="0" applyAlignment="0" applyProtection="0"/>
  </cellStyleXfs>
  <cellXfs count="107">
    <xf numFmtId="0" fontId="0" fillId="0" borderId="0" xfId="0"/>
    <xf numFmtId="0" fontId="0" fillId="0" borderId="0" xfId="0" applyNumberFormat="1"/>
    <xf numFmtId="14" fontId="0" fillId="0" borderId="0" xfId="0" applyNumberFormat="1"/>
    <xf numFmtId="0" fontId="4" fillId="2" borderId="0" xfId="0" applyFont="1" applyFill="1" applyBorder="1" applyAlignment="1">
      <alignment horizontal="center" vertical="center"/>
    </xf>
    <xf numFmtId="0" fontId="1" fillId="3" borderId="0" xfId="1" applyAlignment="1">
      <alignment horizontal="left" vertical="center"/>
    </xf>
    <xf numFmtId="0" fontId="1" fillId="3" borderId="0" xfId="1" applyNumberFormat="1" applyAlignment="1">
      <alignment horizontal="center" vertical="center"/>
    </xf>
    <xf numFmtId="0" fontId="1" fillId="3" borderId="0" xfId="1"/>
    <xf numFmtId="0" fontId="4" fillId="2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49" fontId="0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2" fontId="0" fillId="0" borderId="0" xfId="0" applyNumberFormat="1" applyAlignment="1" applyProtection="1">
      <alignment horizontal="center" vertical="center" wrapText="1"/>
    </xf>
    <xf numFmtId="2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0" fillId="0" borderId="0" xfId="0" applyNumberFormat="1" applyProtection="1"/>
    <xf numFmtId="49" fontId="5" fillId="0" borderId="0" xfId="0" applyNumberFormat="1" applyFont="1" applyBorder="1" applyAlignment="1" applyProtection="1">
      <alignment vertical="center" wrapText="1"/>
    </xf>
    <xf numFmtId="49" fontId="0" fillId="0" borderId="0" xfId="0" applyNumberFormat="1" applyProtection="1"/>
    <xf numFmtId="2" fontId="0" fillId="0" borderId="0" xfId="0" applyNumberFormat="1" applyProtection="1"/>
    <xf numFmtId="14" fontId="0" fillId="0" borderId="0" xfId="0" applyNumberFormat="1" applyProtection="1"/>
    <xf numFmtId="0" fontId="0" fillId="0" borderId="0" xfId="0" applyAlignment="1" applyProtection="1">
      <alignment wrapText="1"/>
    </xf>
    <xf numFmtId="49" fontId="5" fillId="4" borderId="0" xfId="0" applyNumberFormat="1" applyFont="1" applyFill="1" applyBorder="1" applyAlignment="1" applyProtection="1">
      <alignment vertical="center" wrapText="1"/>
    </xf>
    <xf numFmtId="16" fontId="0" fillId="0" borderId="0" xfId="0" applyNumberFormat="1" applyAlignment="1" applyProtection="1">
      <alignment wrapText="1"/>
    </xf>
    <xf numFmtId="49" fontId="5" fillId="0" borderId="0" xfId="0" applyNumberFormat="1" applyFont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0" fontId="0" fillId="0" borderId="0" xfId="0" applyNumberFormat="1" applyAlignment="1">
      <alignment horizontal="center" vertical="center"/>
    </xf>
    <xf numFmtId="0" fontId="6" fillId="5" borderId="0" xfId="0" applyFont="1" applyFill="1"/>
    <xf numFmtId="49" fontId="5" fillId="0" borderId="0" xfId="0" applyNumberFormat="1" applyFont="1" applyBorder="1" applyProtection="1">
      <protection locked="0"/>
    </xf>
    <xf numFmtId="49" fontId="7" fillId="0" borderId="0" xfId="0" applyNumberFormat="1" applyFont="1" applyAlignment="1" applyProtection="1">
      <alignment vertical="center" wrapText="1"/>
    </xf>
    <xf numFmtId="0" fontId="0" fillId="0" borderId="0" xfId="0" applyFill="1"/>
    <xf numFmtId="0" fontId="0" fillId="0" borderId="0" xfId="0" applyNumberFormat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vertical="center" wrapText="1"/>
    </xf>
    <xf numFmtId="49" fontId="5" fillId="0" borderId="1" xfId="0" applyNumberFormat="1" applyFont="1" applyBorder="1" applyProtection="1">
      <protection locked="0"/>
    </xf>
    <xf numFmtId="49" fontId="0" fillId="0" borderId="0" xfId="0" applyNumberFormat="1" applyAlignment="1" applyProtection="1"/>
    <xf numFmtId="49" fontId="0" fillId="0" borderId="1" xfId="0" applyNumberFormat="1" applyFont="1" applyBorder="1" applyAlignment="1"/>
    <xf numFmtId="2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5" fillId="0" borderId="1" xfId="0" applyNumberFormat="1" applyFont="1" applyBorder="1" applyAlignment="1" applyProtection="1"/>
    <xf numFmtId="49" fontId="5" fillId="0" borderId="1" xfId="0" applyNumberFormat="1" applyFont="1" applyBorder="1" applyAlignment="1"/>
    <xf numFmtId="2" fontId="5" fillId="0" borderId="1" xfId="0" applyNumberFormat="1" applyFont="1" applyBorder="1" applyAlignment="1"/>
    <xf numFmtId="49" fontId="5" fillId="0" borderId="2" xfId="0" applyNumberFormat="1" applyFont="1" applyBorder="1" applyAlignment="1"/>
    <xf numFmtId="49" fontId="7" fillId="0" borderId="0" xfId="0" applyNumberFormat="1" applyFont="1" applyBorder="1" applyAlignment="1" applyProtection="1">
      <alignment vertical="center" wrapText="1"/>
    </xf>
    <xf numFmtId="0" fontId="8" fillId="0" borderId="0" xfId="5"/>
    <xf numFmtId="14" fontId="8" fillId="7" borderId="4" xfId="3" applyNumberFormat="1" applyBorder="1"/>
    <xf numFmtId="0" fontId="4" fillId="2" borderId="1" xfId="5" applyFont="1" applyFill="1" applyBorder="1" applyAlignment="1">
      <alignment horizontal="center"/>
    </xf>
    <xf numFmtId="0" fontId="4" fillId="2" borderId="2" xfId="5" applyFont="1" applyFill="1" applyBorder="1" applyAlignment="1">
      <alignment horizontal="center"/>
    </xf>
    <xf numFmtId="0" fontId="8" fillId="0" borderId="0" xfId="5" applyAlignment="1">
      <alignment horizontal="center" vertical="center" wrapText="1"/>
    </xf>
    <xf numFmtId="0" fontId="8" fillId="0" borderId="0" xfId="5" applyAlignment="1">
      <alignment horizontal="center"/>
    </xf>
    <xf numFmtId="49" fontId="8" fillId="0" borderId="0" xfId="5" applyNumberFormat="1"/>
    <xf numFmtId="2" fontId="8" fillId="0" borderId="0" xfId="5" applyNumberFormat="1"/>
    <xf numFmtId="0" fontId="8" fillId="0" borderId="0" xfId="5" applyBorder="1" applyAlignment="1">
      <alignment horizontal="right"/>
    </xf>
    <xf numFmtId="0" fontId="8" fillId="0" borderId="0" xfId="5" applyNumberFormat="1" applyBorder="1" applyAlignment="1">
      <alignment horizontal="right"/>
    </xf>
    <xf numFmtId="0" fontId="1" fillId="8" borderId="0" xfId="4"/>
    <xf numFmtId="0" fontId="4" fillId="2" borderId="0" xfId="5" applyFont="1" applyFill="1" applyBorder="1"/>
    <xf numFmtId="0" fontId="4" fillId="2" borderId="0" xfId="5" applyFont="1" applyFill="1" applyBorder="1" applyAlignment="1">
      <alignment horizontal="center"/>
    </xf>
    <xf numFmtId="0" fontId="8" fillId="0" borderId="0" xfId="5" applyAlignment="1">
      <alignment horizontal="center" wrapText="1"/>
    </xf>
    <xf numFmtId="49" fontId="8" fillId="0" borderId="1" xfId="5" applyNumberFormat="1" applyFont="1" applyBorder="1"/>
    <xf numFmtId="2" fontId="8" fillId="0" borderId="1" xfId="5" applyNumberFormat="1" applyFont="1" applyBorder="1"/>
    <xf numFmtId="0" fontId="8" fillId="0" borderId="0" xfId="5" applyFill="1"/>
    <xf numFmtId="0" fontId="8" fillId="0" borderId="0" xfId="5" applyNumberFormat="1" applyFill="1"/>
    <xf numFmtId="49" fontId="5" fillId="0" borderId="1" xfId="5" applyNumberFormat="1" applyFont="1" applyBorder="1"/>
    <xf numFmtId="2" fontId="5" fillId="0" borderId="1" xfId="5" applyNumberFormat="1" applyFont="1" applyBorder="1"/>
    <xf numFmtId="0" fontId="1" fillId="6" borderId="0" xfId="2"/>
    <xf numFmtId="0" fontId="5" fillId="0" borderId="0" xfId="5" applyFont="1" applyBorder="1"/>
    <xf numFmtId="2" fontId="5" fillId="0" borderId="0" xfId="5" applyNumberFormat="1" applyFont="1" applyBorder="1"/>
    <xf numFmtId="2" fontId="1" fillId="8" borderId="0" xfId="4" applyNumberFormat="1" applyBorder="1"/>
    <xf numFmtId="0" fontId="8" fillId="0" borderId="0" xfId="5" applyAlignment="1">
      <alignment horizontal="left"/>
    </xf>
    <xf numFmtId="0" fontId="8" fillId="0" borderId="0" xfId="5" applyNumberFormat="1"/>
    <xf numFmtId="0" fontId="7" fillId="0" borderId="0" xfId="6"/>
    <xf numFmtId="0" fontId="8" fillId="0" borderId="0" xfId="5" applyAlignment="1">
      <alignment vertical="center"/>
    </xf>
    <xf numFmtId="0" fontId="8" fillId="0" borderId="0" xfId="6" applyNumberFormat="1" applyFont="1" applyFill="1" applyBorder="1" applyAlignment="1" applyProtection="1"/>
    <xf numFmtId="0" fontId="1" fillId="8" borderId="0" xfId="4" applyNumberFormat="1" applyBorder="1" applyAlignment="1" applyProtection="1"/>
    <xf numFmtId="49" fontId="9" fillId="0" borderId="5" xfId="5" applyNumberFormat="1" applyFont="1" applyBorder="1" applyAlignment="1"/>
    <xf numFmtId="0" fontId="9" fillId="0" borderId="5" xfId="5" applyNumberFormat="1" applyFont="1" applyBorder="1" applyAlignment="1"/>
    <xf numFmtId="49" fontId="9" fillId="0" borderId="5" xfId="5" applyNumberFormat="1" applyFont="1" applyBorder="1"/>
    <xf numFmtId="0" fontId="9" fillId="0" borderId="5" xfId="5" applyNumberFormat="1" applyFont="1" applyBorder="1"/>
    <xf numFmtId="0" fontId="1" fillId="9" borderId="0" xfId="7"/>
    <xf numFmtId="0" fontId="8" fillId="0" borderId="0" xfId="5" applyAlignment="1">
      <alignment horizontal="center" vertical="center"/>
    </xf>
    <xf numFmtId="49" fontId="8" fillId="0" borderId="6" xfId="5" applyNumberFormat="1" applyFont="1" applyBorder="1"/>
    <xf numFmtId="14" fontId="8" fillId="0" borderId="0" xfId="5" applyNumberFormat="1"/>
    <xf numFmtId="0" fontId="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7" borderId="4" xfId="3" applyNumberFormat="1" applyFont="1" applyBorder="1"/>
    <xf numFmtId="0" fontId="5" fillId="0" borderId="0" xfId="0" applyNumberFormat="1" applyFont="1" applyFill="1" applyBorder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10" borderId="0" xfId="0" applyNumberFormat="1" applyFont="1" applyFill="1" applyBorder="1" applyAlignment="1" applyProtection="1"/>
    <xf numFmtId="2" fontId="5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0" fontId="1" fillId="11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5" applyAlignment="1">
      <alignment horizontal="center"/>
    </xf>
    <xf numFmtId="14" fontId="8" fillId="7" borderId="0" xfId="3" applyNumberFormat="1" applyBorder="1" applyAlignment="1">
      <alignment horizontal="center" vertical="center"/>
    </xf>
    <xf numFmtId="0" fontId="1" fillId="6" borderId="0" xfId="2" applyAlignment="1">
      <alignment horizontal="center"/>
    </xf>
    <xf numFmtId="0" fontId="1" fillId="5" borderId="0" xfId="0" applyFont="1" applyFill="1"/>
  </cellXfs>
  <cellStyles count="8">
    <cellStyle name="40% — акцент1" xfId="3" builtinId="31"/>
    <cellStyle name="60% — акцент1" xfId="1" builtinId="32"/>
    <cellStyle name="60% — акцент5 2" xfId="7" xr:uid="{A268F738-F5D8-49CA-8E57-824E79D0ECB9}"/>
    <cellStyle name="Акцент1" xfId="2" builtinId="29"/>
    <cellStyle name="Акцент5" xfId="4" builtinId="45"/>
    <cellStyle name="Обычный" xfId="0" builtinId="0"/>
    <cellStyle name="Обычный 2" xfId="5" xr:uid="{96ACFE22-7914-4648-9D4E-66AEEE404DBE}"/>
    <cellStyle name="Обычный 3" xfId="6" xr:uid="{73D20BE8-307C-4835-9033-4B62A877E5EB}"/>
  </cellStyles>
  <dxfs count="3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0.39997558519241921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19" formatCode="dd/mm/yyyy"/>
      <protection locked="1" hidden="0"/>
    </dxf>
    <dxf>
      <numFmt numFmtId="2" formatCode="0.00"/>
      <protection locked="1" hidden="0"/>
    </dxf>
    <dxf>
      <numFmt numFmtId="19" formatCode="dd/mm/yyyy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protection locked="1" hidden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19" formatCode="dd/mm/yyyy"/>
      <protection locked="1" hidden="0"/>
    </dxf>
    <dxf>
      <numFmt numFmtId="2" formatCode="0.00"/>
      <protection locked="1" hidden="0"/>
    </dxf>
    <dxf>
      <numFmt numFmtId="19" formatCode="dd/mm/yyyy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30" formatCode="@"/>
      <alignment horizontal="general" vertical="center" textRotation="0" wrapText="1" indent="0" justifyLastLine="0" shrinkToFit="0" readingOrder="0"/>
      <protection locked="1" hidden="0"/>
    </dxf>
    <dxf>
      <numFmt numFmtId="30" formatCode="@"/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protection locked="1" hidden="0"/>
    </dxf>
    <dxf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19" formatCode="dd/mm/yyyy"/>
    </dxf>
    <dxf>
      <numFmt numFmtId="2" formatCode="0.00"/>
    </dxf>
    <dxf>
      <numFmt numFmtId="19" formatCode="dd/mm/yyyy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0" formatCode="General"/>
    </dxf>
    <dxf>
      <numFmt numFmtId="30" formatCode="@"/>
    </dxf>
    <dxf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30" formatCode="@"/>
    </dxf>
    <dxf>
      <numFmt numFmtId="0" formatCode="General"/>
    </dxf>
    <dxf>
      <protection locked="0" hidden="0"/>
    </dxf>
    <dxf>
      <numFmt numFmtId="30" formatCode="@"/>
      <protection locked="0" hidden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19" formatCode="dd/mm/yyyy"/>
    </dxf>
    <dxf>
      <numFmt numFmtId="2" formatCode="0.00"/>
    </dxf>
    <dxf>
      <numFmt numFmtId="19" formatCode="dd/mm/yyyy"/>
    </dxf>
    <dxf>
      <numFmt numFmtId="2" formatCode="0.00"/>
    </dxf>
    <dxf>
      <numFmt numFmtId="30" formatCode="@"/>
    </dxf>
    <dxf>
      <numFmt numFmtId="30" formatCode="@"/>
    </dxf>
    <dxf>
      <numFmt numFmtId="0" formatCode="General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numFmt numFmtId="30" formatCode="@"/>
    </dxf>
    <dxf>
      <numFmt numFmtId="2" formatCode="0.00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1" hidden="0"/>
    </dxf>
    <dxf>
      <border outline="0">
        <bottom style="thin">
          <color theme="4"/>
        </bottom>
      </border>
    </dxf>
    <dxf>
      <alignment horizontal="general" textRotation="0" wrapText="0" indent="0" justifyLastLine="0" shrinkToFit="0" readingOrder="0"/>
    </dxf>
    <dxf>
      <numFmt numFmtId="30" formatCode="@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9FE1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kaz" refreshedDate="44264.539787499998" createdVersion="6" refreshedVersion="6" minRefreshableVersion="3" recordCount="110" xr:uid="{096A0355-4F13-4F4A-9EBC-D7035EC76948}">
  <cacheSource type="worksheet">
    <worksheetSource name="Таблица_посещаемость"/>
  </cacheSource>
  <cacheFields count="36">
    <cacheField name="Ф.И.О." numFmtId="49">
      <sharedItems/>
    </cacheField>
    <cacheField name="Группа" numFmtId="49">
      <sharedItems containsBlank="1" count="16">
        <s v="7 - 9 В"/>
        <s v="5 - 6"/>
        <s v="4 - 5"/>
        <s v="10 - 14"/>
        <s v="3 - 4"/>
        <s v="РД"/>
        <s v="Парные"/>
        <s v="7 - 9 У"/>
        <s v="ДФ"/>
        <s v="ДХ 14 + "/>
        <s v="ДХ 18 + "/>
        <s v="Индивид"/>
        <s v="ЛС В"/>
        <s v="ЛС У"/>
        <s v="" u="1"/>
        <m u="1"/>
      </sharedItems>
    </cacheField>
    <cacheField name="Хореограф" numFmtId="49">
      <sharedItems containsBlank="1" count="5">
        <s v="Казанцева Е.М."/>
        <s v="Яковлева В.Г."/>
        <s v="Павленко А.А."/>
        <s v="" u="1"/>
        <m u="1"/>
      </sharedItems>
    </cacheField>
    <cacheField name="01" numFmtId="0">
      <sharedItems containsBlank="1"/>
    </cacheField>
    <cacheField name="02" numFmtId="0">
      <sharedItems containsBlank="1"/>
    </cacheField>
    <cacheField name="03" numFmtId="0">
      <sharedItems containsBlank="1"/>
    </cacheField>
    <cacheField name="04" numFmtId="0">
      <sharedItems containsBlank="1"/>
    </cacheField>
    <cacheField name="05" numFmtId="0">
      <sharedItems containsBlank="1"/>
    </cacheField>
    <cacheField name="06" numFmtId="0">
      <sharedItems containsBlank="1"/>
    </cacheField>
    <cacheField name="07" numFmtId="0">
      <sharedItems containsBlank="1"/>
    </cacheField>
    <cacheField name="08" numFmtId="0">
      <sharedItems containsBlank="1"/>
    </cacheField>
    <cacheField name="09" numFmtId="0">
      <sharedItems containsBlank="1"/>
    </cacheField>
    <cacheField name="10" numFmtId="0">
      <sharedItems containsBlank="1"/>
    </cacheField>
    <cacheField name="11" numFmtId="0">
      <sharedItems containsBlank="1"/>
    </cacheField>
    <cacheField name="12" numFmtId="0">
      <sharedItems containsBlank="1"/>
    </cacheField>
    <cacheField name="13" numFmtId="0">
      <sharedItems containsBlank="1"/>
    </cacheField>
    <cacheField name="14" numFmtId="0">
      <sharedItems containsBlank="1"/>
    </cacheField>
    <cacheField name="15" numFmtId="0">
      <sharedItems containsBlank="1"/>
    </cacheField>
    <cacheField name="16" numFmtId="0">
      <sharedItems containsBlank="1"/>
    </cacheField>
    <cacheField name="17" numFmtId="0">
      <sharedItems containsBlank="1"/>
    </cacheField>
    <cacheField name="18" numFmtId="0">
      <sharedItems containsBlank="1"/>
    </cacheField>
    <cacheField name="19" numFmtId="0">
      <sharedItems containsBlank="1"/>
    </cacheField>
    <cacheField name="20" numFmtId="0">
      <sharedItems containsBlank="1"/>
    </cacheField>
    <cacheField name="21" numFmtId="0">
      <sharedItems containsNonDate="0" containsString="0" containsBlank="1"/>
    </cacheField>
    <cacheField name="22" numFmtId="0">
      <sharedItems containsBlank="1"/>
    </cacheField>
    <cacheField name="23" numFmtId="0">
      <sharedItems containsBlank="1"/>
    </cacheField>
    <cacheField name="24" numFmtId="0">
      <sharedItems containsBlank="1"/>
    </cacheField>
    <cacheField name="25" numFmtId="0">
      <sharedItems containsBlank="1"/>
    </cacheField>
    <cacheField name="26" numFmtId="0">
      <sharedItems containsBlank="1"/>
    </cacheField>
    <cacheField name="27" numFmtId="0">
      <sharedItems containsBlank="1"/>
    </cacheField>
    <cacheField name="28" numFmtId="0">
      <sharedItems containsBlank="1"/>
    </cacheField>
    <cacheField name="29" numFmtId="0">
      <sharedItems containsNonDate="0" containsString="0" containsBlank="1"/>
    </cacheField>
    <cacheField name="30" numFmtId="0">
      <sharedItems containsNonDate="0" containsString="0" containsBlank="1"/>
    </cacheField>
    <cacheField name="31" numFmtId="0">
      <sharedItems containsNonDate="0" containsString="0" containsBlank="1"/>
    </cacheField>
    <cacheField name="Всего" numFmtId="0">
      <sharedItems containsSemiMixedTypes="0" containsString="0" containsNumber="1" containsInteger="1" minValue="0" maxValue="8"/>
    </cacheField>
    <cacheField name="Количество" numFmtId="0" formula=" COUNT('02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s v="Антонова Лиза"/>
    <x v="0"/>
    <x v="0"/>
    <m/>
    <m/>
    <m/>
    <m/>
    <m/>
    <m/>
    <m/>
    <m/>
    <m/>
    <m/>
    <s v="+"/>
    <m/>
    <m/>
    <m/>
    <m/>
    <s v="+"/>
    <m/>
    <s v="+"/>
    <m/>
    <m/>
    <m/>
    <m/>
    <s v="+"/>
    <m/>
    <s v="+"/>
    <m/>
    <m/>
    <m/>
    <m/>
    <m/>
    <m/>
    <n v="5"/>
  </r>
  <r>
    <s v="Ануфриева Лиза"/>
    <x v="1"/>
    <x v="0"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m/>
    <n v="7"/>
  </r>
  <r>
    <s v="Ахметова Агата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Белоносова Настя"/>
    <x v="3"/>
    <x v="1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Колесников Егор"/>
    <x v="4"/>
    <x v="2"/>
    <m/>
    <s v="П"/>
    <m/>
    <s v="+"/>
    <m/>
    <m/>
    <m/>
    <m/>
    <s v="+"/>
    <m/>
    <m/>
    <m/>
    <m/>
    <m/>
    <m/>
    <s v="+"/>
    <m/>
    <s v="+"/>
    <m/>
    <m/>
    <m/>
    <m/>
    <s v="+"/>
    <m/>
    <m/>
    <m/>
    <m/>
    <m/>
    <m/>
    <m/>
    <m/>
    <n v="6"/>
  </r>
  <r>
    <s v="Барькарь Ванесса"/>
    <x v="0"/>
    <x v="0"/>
    <m/>
    <s v="+"/>
    <m/>
    <s v="+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s v="Богданов Захар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Болгарь Илинка"/>
    <x v="1"/>
    <x v="0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Венидиктова Маргарита"/>
    <x v="1"/>
    <x v="0"/>
    <m/>
    <m/>
    <m/>
    <m/>
    <m/>
    <m/>
    <m/>
    <m/>
    <m/>
    <m/>
    <m/>
    <m/>
    <m/>
    <m/>
    <s v="+"/>
    <m/>
    <s v="+"/>
    <m/>
    <m/>
    <m/>
    <m/>
    <s v="+"/>
    <m/>
    <s v="+"/>
    <m/>
    <m/>
    <m/>
    <m/>
    <m/>
    <m/>
    <m/>
    <n v="4"/>
  </r>
  <r>
    <s v="Власичева Вероника"/>
    <x v="0"/>
    <x v="0"/>
    <m/>
    <s v="+"/>
    <m/>
    <s v="+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s v="Иванова Настя"/>
    <x v="4"/>
    <x v="2"/>
    <m/>
    <s v="П"/>
    <m/>
    <s v="+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s v="Хюснюоглу Алиса"/>
    <x v="4"/>
    <x v="2"/>
    <m/>
    <m/>
    <m/>
    <m/>
    <m/>
    <m/>
    <m/>
    <m/>
    <m/>
    <m/>
    <m/>
    <m/>
    <m/>
    <m/>
    <m/>
    <m/>
    <m/>
    <m/>
    <m/>
    <m/>
    <m/>
    <m/>
    <s v="П"/>
    <m/>
    <s v="+"/>
    <m/>
    <m/>
    <m/>
    <m/>
    <m/>
    <m/>
    <n v="2"/>
  </r>
  <r>
    <s v="Грицкан Аристарх"/>
    <x v="4"/>
    <x v="2"/>
    <m/>
    <s v="П"/>
    <m/>
    <m/>
    <m/>
    <m/>
    <m/>
    <m/>
    <m/>
    <m/>
    <m/>
    <m/>
    <m/>
    <m/>
    <m/>
    <m/>
    <m/>
    <m/>
    <m/>
    <m/>
    <m/>
    <m/>
    <m/>
    <m/>
    <s v="+"/>
    <m/>
    <m/>
    <m/>
    <m/>
    <m/>
    <m/>
    <n v="2"/>
  </r>
  <r>
    <s v="Воробьева Юля"/>
    <x v="2"/>
    <x v="0"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m/>
    <n v="7"/>
  </r>
  <r>
    <s v="Галахова Лиза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Гудкова Ева"/>
    <x v="2"/>
    <x v="0"/>
    <m/>
    <m/>
    <s v="+"/>
    <m/>
    <m/>
    <m/>
    <m/>
    <s v="+"/>
    <m/>
    <s v="+"/>
    <m/>
    <m/>
    <m/>
    <m/>
    <m/>
    <m/>
    <m/>
    <m/>
    <m/>
    <m/>
    <m/>
    <m/>
    <m/>
    <s v="+"/>
    <m/>
    <m/>
    <m/>
    <m/>
    <m/>
    <m/>
    <m/>
    <n v="4"/>
  </r>
  <r>
    <s v="Журавская Жасмин"/>
    <x v="1"/>
    <x v="0"/>
    <m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m/>
    <n v="6"/>
  </r>
  <r>
    <s v="Журавская Жасмин"/>
    <x v="5"/>
    <x v="0"/>
    <m/>
    <m/>
    <m/>
    <m/>
    <m/>
    <m/>
    <m/>
    <m/>
    <m/>
    <m/>
    <m/>
    <s v="+"/>
    <m/>
    <m/>
    <m/>
    <m/>
    <m/>
    <m/>
    <s v="+"/>
    <m/>
    <m/>
    <m/>
    <m/>
    <m/>
    <m/>
    <s v="+"/>
    <m/>
    <m/>
    <m/>
    <m/>
    <m/>
    <n v="3"/>
  </r>
  <r>
    <s v="Загребельная  Катя"/>
    <x v="1"/>
    <x v="0"/>
    <s v="+"/>
    <m/>
    <s v="+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s v="Захарьева Лера"/>
    <x v="1"/>
    <x v="0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Князева Влада"/>
    <x v="0"/>
    <x v="0"/>
    <m/>
    <s v="+"/>
    <m/>
    <s v="+"/>
    <m/>
    <m/>
    <m/>
    <m/>
    <s v="+"/>
    <m/>
    <m/>
    <m/>
    <m/>
    <m/>
    <m/>
    <s v="+"/>
    <m/>
    <m/>
    <m/>
    <m/>
    <m/>
    <m/>
    <m/>
    <m/>
    <s v="+"/>
    <m/>
    <m/>
    <m/>
    <m/>
    <m/>
    <m/>
    <n v="5"/>
  </r>
  <r>
    <s v="Короблева Лера"/>
    <x v="1"/>
    <x v="0"/>
    <s v="+"/>
    <m/>
    <s v="+"/>
    <m/>
    <m/>
    <m/>
    <m/>
    <s v="+"/>
    <m/>
    <s v="+"/>
    <m/>
    <m/>
    <m/>
    <m/>
    <m/>
    <m/>
    <m/>
    <m/>
    <m/>
    <m/>
    <m/>
    <m/>
    <m/>
    <s v="+"/>
    <m/>
    <m/>
    <m/>
    <m/>
    <m/>
    <m/>
    <m/>
    <n v="5"/>
  </r>
  <r>
    <s v="Кузьмина София"/>
    <x v="2"/>
    <x v="0"/>
    <m/>
    <m/>
    <m/>
    <m/>
    <m/>
    <m/>
    <m/>
    <m/>
    <m/>
    <s v="+"/>
    <m/>
    <m/>
    <m/>
    <m/>
    <m/>
    <m/>
    <m/>
    <m/>
    <m/>
    <m/>
    <m/>
    <m/>
    <m/>
    <s v="+"/>
    <m/>
    <m/>
    <m/>
    <m/>
    <m/>
    <m/>
    <m/>
    <n v="2"/>
  </r>
  <r>
    <s v="Ламберд Милания"/>
    <x v="0"/>
    <x v="0"/>
    <m/>
    <m/>
    <m/>
    <s v="+"/>
    <m/>
    <m/>
    <m/>
    <m/>
    <s v="+"/>
    <m/>
    <m/>
    <m/>
    <m/>
    <m/>
    <m/>
    <s v="+"/>
    <m/>
    <s v="+"/>
    <m/>
    <m/>
    <m/>
    <m/>
    <s v="+"/>
    <s v="+"/>
    <m/>
    <m/>
    <m/>
    <m/>
    <m/>
    <m/>
    <m/>
    <n v="6"/>
  </r>
  <r>
    <s v="Минькова Алиса"/>
    <x v="1"/>
    <x v="0"/>
    <s v="+"/>
    <m/>
    <m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7"/>
  </r>
  <r>
    <s v="Недобежкова Ксюша"/>
    <x v="0"/>
    <x v="0"/>
    <m/>
    <m/>
    <m/>
    <s v="+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s v="Павлюченко Настя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Петрова Ульяна"/>
    <x v="2"/>
    <x v="0"/>
    <s v="+"/>
    <m/>
    <s v="+"/>
    <m/>
    <m/>
    <m/>
    <m/>
    <s v="+"/>
    <m/>
    <m/>
    <m/>
    <m/>
    <m/>
    <m/>
    <m/>
    <m/>
    <m/>
    <m/>
    <m/>
    <m/>
    <m/>
    <m/>
    <m/>
    <s v="+"/>
    <m/>
    <m/>
    <m/>
    <m/>
    <m/>
    <m/>
    <m/>
    <n v="4"/>
  </r>
  <r>
    <s v="Пиньковская Эмилия"/>
    <x v="0"/>
    <x v="0"/>
    <m/>
    <s v="+"/>
    <m/>
    <s v="+"/>
    <m/>
    <m/>
    <m/>
    <m/>
    <s v="+"/>
    <m/>
    <m/>
    <m/>
    <m/>
    <m/>
    <m/>
    <m/>
    <m/>
    <m/>
    <m/>
    <m/>
    <m/>
    <m/>
    <m/>
    <m/>
    <m/>
    <m/>
    <m/>
    <m/>
    <m/>
    <m/>
    <m/>
    <n v="3"/>
  </r>
  <r>
    <s v="Рудковская Виктория"/>
    <x v="2"/>
    <x v="0"/>
    <s v="+"/>
    <m/>
    <s v="+"/>
    <m/>
    <m/>
    <m/>
    <m/>
    <m/>
    <m/>
    <m/>
    <m/>
    <m/>
    <m/>
    <m/>
    <s v="+"/>
    <m/>
    <s v="+"/>
    <m/>
    <m/>
    <m/>
    <m/>
    <m/>
    <m/>
    <s v="+"/>
    <m/>
    <m/>
    <m/>
    <m/>
    <m/>
    <m/>
    <m/>
    <n v="5"/>
  </r>
  <r>
    <s v="Смирнова Полина"/>
    <x v="0"/>
    <x v="0"/>
    <m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n v="7"/>
  </r>
  <r>
    <s v="Судьена Катя"/>
    <x v="1"/>
    <x v="0"/>
    <s v="+"/>
    <m/>
    <s v="+"/>
    <m/>
    <m/>
    <m/>
    <m/>
    <s v="+"/>
    <m/>
    <s v="+"/>
    <m/>
    <m/>
    <m/>
    <m/>
    <m/>
    <m/>
    <m/>
    <m/>
    <m/>
    <m/>
    <m/>
    <s v="+"/>
    <m/>
    <s v="+"/>
    <m/>
    <m/>
    <m/>
    <m/>
    <m/>
    <m/>
    <m/>
    <n v="6"/>
  </r>
  <r>
    <s v="Талызина Ева"/>
    <x v="0"/>
    <x v="0"/>
    <m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n v="8"/>
  </r>
  <r>
    <s v="Ламберд Милания"/>
    <x v="5"/>
    <x v="0"/>
    <m/>
    <m/>
    <m/>
    <m/>
    <s v="+"/>
    <m/>
    <m/>
    <m/>
    <m/>
    <m/>
    <m/>
    <m/>
    <m/>
    <m/>
    <m/>
    <m/>
    <m/>
    <m/>
    <s v="+"/>
    <m/>
    <m/>
    <m/>
    <m/>
    <m/>
    <m/>
    <m/>
    <m/>
    <m/>
    <m/>
    <m/>
    <m/>
    <n v="2"/>
  </r>
  <r>
    <s v="Талызина Ева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Танасейчук Елена"/>
    <x v="1"/>
    <x v="0"/>
    <s v="+"/>
    <m/>
    <s v="+"/>
    <m/>
    <m/>
    <m/>
    <m/>
    <s v="+"/>
    <m/>
    <m/>
    <m/>
    <m/>
    <m/>
    <m/>
    <m/>
    <m/>
    <m/>
    <m/>
    <m/>
    <m/>
    <m/>
    <m/>
    <m/>
    <m/>
    <m/>
    <m/>
    <m/>
    <m/>
    <m/>
    <m/>
    <m/>
    <n v="3"/>
  </r>
  <r>
    <s v="Тимукова Алиса"/>
    <x v="0"/>
    <x v="0"/>
    <m/>
    <s v="+"/>
    <m/>
    <s v="+"/>
    <m/>
    <m/>
    <m/>
    <m/>
    <m/>
    <m/>
    <s v="+"/>
    <m/>
    <m/>
    <m/>
    <m/>
    <s v="+"/>
    <m/>
    <s v="+"/>
    <m/>
    <m/>
    <m/>
    <m/>
    <m/>
    <m/>
    <s v="+"/>
    <m/>
    <m/>
    <m/>
    <m/>
    <m/>
    <m/>
    <n v="6"/>
  </r>
  <r>
    <s v="Тимукова Алиса"/>
    <x v="5"/>
    <x v="0"/>
    <m/>
    <m/>
    <m/>
    <m/>
    <s v="+"/>
    <m/>
    <m/>
    <m/>
    <m/>
    <m/>
    <m/>
    <s v="+"/>
    <m/>
    <m/>
    <m/>
    <m/>
    <m/>
    <m/>
    <s v="+"/>
    <m/>
    <m/>
    <m/>
    <m/>
    <m/>
    <m/>
    <s v="+"/>
    <m/>
    <m/>
    <m/>
    <m/>
    <m/>
    <n v="4"/>
  </r>
  <r>
    <s v="Тиунова Анна"/>
    <x v="1"/>
    <x v="0"/>
    <m/>
    <m/>
    <m/>
    <m/>
    <m/>
    <m/>
    <m/>
    <s v="+"/>
    <m/>
    <s v="+"/>
    <m/>
    <m/>
    <m/>
    <m/>
    <m/>
    <m/>
    <s v="+"/>
    <m/>
    <m/>
    <m/>
    <m/>
    <s v="+"/>
    <m/>
    <s v="+"/>
    <m/>
    <m/>
    <m/>
    <m/>
    <m/>
    <m/>
    <m/>
    <n v="5"/>
  </r>
  <r>
    <s v="Файзулаева  Марьям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Цветкова Диана"/>
    <x v="2"/>
    <x v="0"/>
    <m/>
    <m/>
    <m/>
    <m/>
    <m/>
    <m/>
    <m/>
    <s v="+"/>
    <m/>
    <s v="+"/>
    <m/>
    <m/>
    <m/>
    <m/>
    <s v="+"/>
    <m/>
    <m/>
    <m/>
    <m/>
    <m/>
    <m/>
    <m/>
    <m/>
    <s v="+"/>
    <m/>
    <m/>
    <m/>
    <m/>
    <m/>
    <m/>
    <m/>
    <n v="4"/>
  </r>
  <r>
    <s v="Шахина Алена"/>
    <x v="0"/>
    <x v="0"/>
    <m/>
    <m/>
    <m/>
    <m/>
    <m/>
    <m/>
    <m/>
    <m/>
    <s v="+"/>
    <m/>
    <s v="+"/>
    <m/>
    <m/>
    <m/>
    <m/>
    <s v="+"/>
    <m/>
    <m/>
    <m/>
    <m/>
    <m/>
    <m/>
    <m/>
    <m/>
    <s v="+"/>
    <m/>
    <m/>
    <m/>
    <m/>
    <m/>
    <m/>
    <n v="4"/>
  </r>
  <r>
    <s v="Щеглов Тимур"/>
    <x v="2"/>
    <x v="0"/>
    <m/>
    <m/>
    <m/>
    <m/>
    <m/>
    <m/>
    <m/>
    <m/>
    <m/>
    <s v="+"/>
    <m/>
    <m/>
    <m/>
    <m/>
    <s v="+"/>
    <m/>
    <s v="+"/>
    <m/>
    <m/>
    <m/>
    <m/>
    <s v="+"/>
    <m/>
    <s v="+"/>
    <m/>
    <m/>
    <m/>
    <m/>
    <m/>
    <m/>
    <m/>
    <n v="5"/>
  </r>
  <r>
    <s v="Цеслер Алиса"/>
    <x v="1"/>
    <x v="0"/>
    <s v="П"/>
    <m/>
    <m/>
    <m/>
    <m/>
    <m/>
    <m/>
    <m/>
    <m/>
    <s v="+"/>
    <m/>
    <m/>
    <m/>
    <m/>
    <s v="+"/>
    <m/>
    <s v="+"/>
    <m/>
    <m/>
    <m/>
    <m/>
    <m/>
    <m/>
    <s v="+"/>
    <m/>
    <m/>
    <m/>
    <m/>
    <m/>
    <m/>
    <m/>
    <n v="5"/>
  </r>
  <r>
    <s v="Щуровская Ксения"/>
    <x v="1"/>
    <x v="0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Гаврилова Людмила"/>
    <x v="6"/>
    <x v="2"/>
    <m/>
    <m/>
    <m/>
    <m/>
    <m/>
    <m/>
    <m/>
    <m/>
    <m/>
    <m/>
    <m/>
    <m/>
    <m/>
    <s v="+"/>
    <m/>
    <m/>
    <m/>
    <m/>
    <m/>
    <m/>
    <m/>
    <m/>
    <m/>
    <m/>
    <m/>
    <m/>
    <m/>
    <m/>
    <m/>
    <m/>
    <m/>
    <n v="1"/>
  </r>
  <r>
    <s v="Горькова Ксюша"/>
    <x v="4"/>
    <x v="2"/>
    <m/>
    <s v="+"/>
    <m/>
    <m/>
    <m/>
    <m/>
    <m/>
    <m/>
    <m/>
    <m/>
    <m/>
    <m/>
    <m/>
    <m/>
    <m/>
    <s v="+"/>
    <m/>
    <s v="+"/>
    <m/>
    <m/>
    <m/>
    <m/>
    <s v="+"/>
    <m/>
    <s v="+"/>
    <m/>
    <m/>
    <m/>
    <m/>
    <m/>
    <m/>
    <n v="5"/>
  </r>
  <r>
    <s v="Зиядуллаева Маргарита"/>
    <x v="4"/>
    <x v="2"/>
    <m/>
    <s v="+"/>
    <m/>
    <s v="+"/>
    <m/>
    <m/>
    <m/>
    <m/>
    <s v="+"/>
    <m/>
    <m/>
    <m/>
    <m/>
    <m/>
    <m/>
    <m/>
    <m/>
    <m/>
    <m/>
    <m/>
    <m/>
    <m/>
    <s v="+"/>
    <m/>
    <s v="+"/>
    <m/>
    <m/>
    <m/>
    <m/>
    <m/>
    <m/>
    <n v="5"/>
  </r>
  <r>
    <s v="Зонов Руслан"/>
    <x v="6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Илларионова Эльза"/>
    <x v="6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Петрова Алесия"/>
    <x v="4"/>
    <x v="2"/>
    <m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n v="7"/>
  </r>
  <r>
    <s v="Розов Алексей"/>
    <x v="6"/>
    <x v="2"/>
    <m/>
    <m/>
    <m/>
    <m/>
    <s v="+"/>
    <m/>
    <s v="+"/>
    <m/>
    <m/>
    <m/>
    <m/>
    <m/>
    <m/>
    <s v="+"/>
    <m/>
    <m/>
    <m/>
    <m/>
    <m/>
    <m/>
    <m/>
    <m/>
    <m/>
    <m/>
    <m/>
    <m/>
    <m/>
    <s v="+"/>
    <m/>
    <m/>
    <m/>
    <n v="4"/>
  </r>
  <r>
    <s v="Соколов Павел"/>
    <x v="6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Шелогурова Маргарита"/>
    <x v="6"/>
    <x v="2"/>
    <m/>
    <m/>
    <m/>
    <m/>
    <s v="+"/>
    <m/>
    <s v="+"/>
    <m/>
    <m/>
    <m/>
    <m/>
    <m/>
    <m/>
    <s v="+"/>
    <m/>
    <m/>
    <m/>
    <m/>
    <m/>
    <m/>
    <m/>
    <m/>
    <m/>
    <m/>
    <m/>
    <m/>
    <m/>
    <s v="+"/>
    <m/>
    <m/>
    <m/>
    <n v="4"/>
  </r>
  <r>
    <s v="Виноградова Даша"/>
    <x v="3"/>
    <x v="1"/>
    <s v="+"/>
    <m/>
    <m/>
    <m/>
    <m/>
    <m/>
    <m/>
    <m/>
    <m/>
    <m/>
    <m/>
    <m/>
    <m/>
    <m/>
    <s v="+"/>
    <m/>
    <m/>
    <m/>
    <m/>
    <m/>
    <m/>
    <s v="+"/>
    <m/>
    <s v="+"/>
    <m/>
    <m/>
    <m/>
    <m/>
    <m/>
    <m/>
    <m/>
    <n v="4"/>
  </r>
  <r>
    <s v="Жилина Злата"/>
    <x v="3"/>
    <x v="1"/>
    <s v="+"/>
    <m/>
    <s v="+"/>
    <m/>
    <m/>
    <m/>
    <m/>
    <s v="+"/>
    <m/>
    <s v="+"/>
    <m/>
    <m/>
    <m/>
    <m/>
    <s v="+"/>
    <m/>
    <m/>
    <m/>
    <m/>
    <m/>
    <m/>
    <m/>
    <m/>
    <m/>
    <m/>
    <m/>
    <m/>
    <m/>
    <m/>
    <m/>
    <m/>
    <n v="5"/>
  </r>
  <r>
    <s v="Иванова Юля"/>
    <x v="3"/>
    <x v="1"/>
    <s v="+"/>
    <m/>
    <s v="+"/>
    <m/>
    <m/>
    <m/>
    <m/>
    <s v="+"/>
    <m/>
    <s v="+"/>
    <m/>
    <m/>
    <m/>
    <m/>
    <m/>
    <m/>
    <s v="+"/>
    <m/>
    <m/>
    <m/>
    <m/>
    <m/>
    <m/>
    <s v="+"/>
    <m/>
    <m/>
    <m/>
    <m/>
    <m/>
    <m/>
    <m/>
    <n v="6"/>
  </r>
  <r>
    <s v="Кучкарова Роксана"/>
    <x v="3"/>
    <x v="1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Полякова Ксюша"/>
    <x v="3"/>
    <x v="1"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m/>
    <n v="7"/>
  </r>
  <r>
    <s v="Чувашева Милана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Акбаш Карина"/>
    <x v="7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Заря Нелли"/>
    <x v="7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Метлова Соня"/>
    <x v="7"/>
    <x v="1"/>
    <m/>
    <m/>
    <s v="+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s v="Сергеева Полина"/>
    <x v="7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Сидорова Маргарита"/>
    <x v="7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Шутак Алиса"/>
    <x v="7"/>
    <x v="1"/>
    <s v="+"/>
    <m/>
    <s v="+"/>
    <m/>
    <m/>
    <m/>
    <m/>
    <s v="+"/>
    <m/>
    <s v="+"/>
    <m/>
    <m/>
    <m/>
    <m/>
    <m/>
    <m/>
    <m/>
    <m/>
    <m/>
    <m/>
    <m/>
    <m/>
    <m/>
    <m/>
    <m/>
    <m/>
    <m/>
    <m/>
    <m/>
    <m/>
    <m/>
    <n v="4"/>
  </r>
  <r>
    <s v="Галкина Евгения"/>
    <x v="8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Антонова Таисия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Костина Вероника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Красникова Настя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Мартынович Руслана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Марусич Лиза"/>
    <x v="9"/>
    <x v="1"/>
    <m/>
    <s v="+"/>
    <m/>
    <m/>
    <m/>
    <s v="+"/>
    <m/>
    <m/>
    <m/>
    <m/>
    <m/>
    <m/>
    <m/>
    <m/>
    <m/>
    <s v="+"/>
    <m/>
    <m/>
    <m/>
    <m/>
    <m/>
    <m/>
    <s v="+"/>
    <m/>
    <m/>
    <m/>
    <s v="+"/>
    <m/>
    <m/>
    <m/>
    <m/>
    <n v="5"/>
  </r>
  <r>
    <s v="Меркулова Кристина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Сахань Кристина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Пучкова Кристина"/>
    <x v="9"/>
    <x v="1"/>
    <m/>
    <m/>
    <m/>
    <m/>
    <m/>
    <m/>
    <m/>
    <m/>
    <m/>
    <m/>
    <m/>
    <m/>
    <m/>
    <m/>
    <m/>
    <m/>
    <m/>
    <m/>
    <m/>
    <s v="П"/>
    <m/>
    <m/>
    <s v="+"/>
    <m/>
    <m/>
    <m/>
    <s v="+"/>
    <m/>
    <m/>
    <m/>
    <m/>
    <n v="3"/>
  </r>
  <r>
    <s v="Талызина Соня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Шишмарева Вера"/>
    <x v="9"/>
    <x v="1"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n v="8"/>
  </r>
  <r>
    <s v="Рысикова Ирина"/>
    <x v="10"/>
    <x v="1"/>
    <s v="П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Болдина Марина"/>
    <x v="10"/>
    <x v="1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Бородина Евгения"/>
    <x v="10"/>
    <x v="1"/>
    <m/>
    <m/>
    <s v="+"/>
    <m/>
    <m/>
    <m/>
    <m/>
    <s v="+"/>
    <m/>
    <s v="+"/>
    <m/>
    <m/>
    <m/>
    <m/>
    <m/>
    <m/>
    <m/>
    <m/>
    <m/>
    <m/>
    <m/>
    <m/>
    <m/>
    <s v="+"/>
    <m/>
    <m/>
    <m/>
    <m/>
    <m/>
    <m/>
    <m/>
    <n v="4"/>
  </r>
  <r>
    <s v="Ким Нелли"/>
    <x v="10"/>
    <x v="1"/>
    <s v="+"/>
    <m/>
    <m/>
    <m/>
    <m/>
    <m/>
    <m/>
    <m/>
    <m/>
    <m/>
    <m/>
    <m/>
    <m/>
    <m/>
    <s v="+"/>
    <m/>
    <m/>
    <m/>
    <m/>
    <m/>
    <m/>
    <m/>
    <m/>
    <m/>
    <m/>
    <m/>
    <m/>
    <m/>
    <m/>
    <m/>
    <m/>
    <n v="2"/>
  </r>
  <r>
    <s v="Кучик Ирина"/>
    <x v="1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Максименкова Таня"/>
    <x v="1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Минькова Мария"/>
    <x v="10"/>
    <x v="1"/>
    <s v="+"/>
    <m/>
    <m/>
    <m/>
    <m/>
    <m/>
    <m/>
    <s v="+"/>
    <m/>
    <m/>
    <m/>
    <m/>
    <m/>
    <m/>
    <s v="+"/>
    <m/>
    <m/>
    <m/>
    <m/>
    <m/>
    <m/>
    <s v="+"/>
    <m/>
    <m/>
    <m/>
    <m/>
    <m/>
    <m/>
    <m/>
    <m/>
    <m/>
    <n v="4"/>
  </r>
  <r>
    <s v="Павлиш Ирина"/>
    <x v="10"/>
    <x v="1"/>
    <s v="+"/>
    <m/>
    <s v="+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s v="Петрухина Катя"/>
    <x v="10"/>
    <x v="1"/>
    <m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7"/>
  </r>
  <r>
    <s v="Садыкова Ксения"/>
    <x v="10"/>
    <x v="1"/>
    <s v="+"/>
    <m/>
    <s v="+"/>
    <m/>
    <m/>
    <m/>
    <m/>
    <s v="+"/>
    <m/>
    <s v="+"/>
    <m/>
    <m/>
    <m/>
    <m/>
    <m/>
    <m/>
    <s v="+"/>
    <m/>
    <m/>
    <m/>
    <m/>
    <s v="+"/>
    <m/>
    <s v="+"/>
    <m/>
    <m/>
    <m/>
    <m/>
    <m/>
    <m/>
    <m/>
    <n v="7"/>
  </r>
  <r>
    <s v="Сухорукова Оля"/>
    <x v="1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Хильманович Вика"/>
    <x v="10"/>
    <x v="1"/>
    <s v="+"/>
    <m/>
    <s v="+"/>
    <m/>
    <m/>
    <m/>
    <m/>
    <m/>
    <m/>
    <s v="+"/>
    <m/>
    <m/>
    <m/>
    <m/>
    <s v="+"/>
    <m/>
    <s v="+"/>
    <m/>
    <m/>
    <m/>
    <m/>
    <s v="+"/>
    <m/>
    <s v="+"/>
    <m/>
    <m/>
    <m/>
    <m/>
    <m/>
    <m/>
    <m/>
    <n v="7"/>
  </r>
  <r>
    <s v="Хильманович Маргарита"/>
    <x v="10"/>
    <x v="1"/>
    <s v="+"/>
    <m/>
    <s v="+"/>
    <m/>
    <m/>
    <m/>
    <m/>
    <m/>
    <m/>
    <s v="+"/>
    <m/>
    <m/>
    <m/>
    <m/>
    <s v="+"/>
    <m/>
    <s v="+"/>
    <m/>
    <m/>
    <m/>
    <m/>
    <s v="+"/>
    <m/>
    <s v="+"/>
    <m/>
    <m/>
    <m/>
    <m/>
    <m/>
    <m/>
    <m/>
    <n v="7"/>
  </r>
  <r>
    <s v="Ким Нелли"/>
    <x v="11"/>
    <x v="1"/>
    <s v="+"/>
    <m/>
    <m/>
    <m/>
    <m/>
    <m/>
    <m/>
    <m/>
    <m/>
    <m/>
    <m/>
    <m/>
    <m/>
    <m/>
    <m/>
    <m/>
    <s v="+"/>
    <m/>
    <m/>
    <m/>
    <m/>
    <m/>
    <m/>
    <m/>
    <m/>
    <m/>
    <m/>
    <m/>
    <m/>
    <m/>
    <m/>
    <n v="2"/>
  </r>
  <r>
    <s v="Антипенко Лиза"/>
    <x v="1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Рыженко Маргарита"/>
    <x v="12"/>
    <x v="1"/>
    <m/>
    <m/>
    <m/>
    <m/>
    <m/>
    <m/>
    <m/>
    <m/>
    <m/>
    <s v="П"/>
    <m/>
    <m/>
    <s v="+"/>
    <m/>
    <m/>
    <m/>
    <m/>
    <m/>
    <m/>
    <m/>
    <m/>
    <m/>
    <m/>
    <m/>
    <m/>
    <m/>
    <m/>
    <m/>
    <m/>
    <m/>
    <m/>
    <n v="2"/>
  </r>
  <r>
    <s v="Баранникова"/>
    <x v="12"/>
    <x v="1"/>
    <m/>
    <m/>
    <s v="+"/>
    <m/>
    <m/>
    <s v="+"/>
    <m/>
    <m/>
    <m/>
    <s v="+"/>
    <m/>
    <m/>
    <m/>
    <m/>
    <m/>
    <m/>
    <s v="+"/>
    <m/>
    <m/>
    <s v="+"/>
    <m/>
    <m/>
    <m/>
    <s v="+"/>
    <m/>
    <m/>
    <s v="+"/>
    <m/>
    <m/>
    <m/>
    <m/>
    <n v="7"/>
  </r>
  <r>
    <s v="Бахира Таня"/>
    <x v="1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Бобкова Арина"/>
    <x v="12"/>
    <x v="1"/>
    <m/>
    <m/>
    <s v="+"/>
    <m/>
    <m/>
    <s v="+"/>
    <m/>
    <m/>
    <m/>
    <s v="+"/>
    <m/>
    <m/>
    <s v="+"/>
    <m/>
    <m/>
    <m/>
    <s v="+"/>
    <m/>
    <m/>
    <m/>
    <m/>
    <m/>
    <m/>
    <m/>
    <m/>
    <m/>
    <s v="+"/>
    <m/>
    <m/>
    <m/>
    <m/>
    <n v="6"/>
  </r>
  <r>
    <s v="Горобец Людмила"/>
    <x v="12"/>
    <x v="1"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m/>
    <n v="8"/>
  </r>
  <r>
    <s v="Илларионова Эльза"/>
    <x v="12"/>
    <x v="1"/>
    <m/>
    <m/>
    <s v="+"/>
    <m/>
    <m/>
    <m/>
    <m/>
    <m/>
    <m/>
    <m/>
    <m/>
    <m/>
    <m/>
    <m/>
    <m/>
    <m/>
    <s v="+"/>
    <m/>
    <m/>
    <s v="+"/>
    <m/>
    <m/>
    <m/>
    <s v="+"/>
    <m/>
    <m/>
    <m/>
    <m/>
    <m/>
    <m/>
    <m/>
    <n v="4"/>
  </r>
  <r>
    <s v="Моисеенко Татьяна"/>
    <x v="12"/>
    <x v="1"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m/>
    <m/>
    <m/>
    <m/>
    <m/>
    <n v="7"/>
  </r>
  <r>
    <s v="Никифорова Настя"/>
    <x v="1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Пашнецева Елена"/>
    <x v="1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Шипилина Анна"/>
    <x v="12"/>
    <x v="1"/>
    <m/>
    <m/>
    <s v="+"/>
    <m/>
    <m/>
    <s v="+"/>
    <m/>
    <m/>
    <m/>
    <s v="+"/>
    <m/>
    <m/>
    <s v="+"/>
    <m/>
    <m/>
    <m/>
    <s v="+"/>
    <m/>
    <m/>
    <s v="+"/>
    <m/>
    <m/>
    <m/>
    <s v="+"/>
    <m/>
    <m/>
    <s v="+"/>
    <m/>
    <m/>
    <m/>
    <m/>
    <n v="8"/>
  </r>
  <r>
    <s v="Богданова Ксения"/>
    <x v="13"/>
    <x v="1"/>
    <s v="+"/>
    <m/>
    <s v="+"/>
    <m/>
    <m/>
    <m/>
    <m/>
    <s v="+"/>
    <m/>
    <s v="+"/>
    <m/>
    <m/>
    <m/>
    <m/>
    <s v="+"/>
    <m/>
    <s v="+"/>
    <m/>
    <m/>
    <m/>
    <m/>
    <s v="+"/>
    <m/>
    <s v="+"/>
    <m/>
    <m/>
    <m/>
    <m/>
    <m/>
    <m/>
    <m/>
    <n v="8"/>
  </r>
  <r>
    <s v="Галахова Катя"/>
    <x v="1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s v="Гафурова Мария"/>
    <x v="13"/>
    <x v="1"/>
    <s v="+"/>
    <m/>
    <s v="+"/>
    <m/>
    <m/>
    <m/>
    <m/>
    <s v="+"/>
    <m/>
    <s v="+"/>
    <m/>
    <m/>
    <m/>
    <m/>
    <s v="+"/>
    <m/>
    <s v="+"/>
    <m/>
    <m/>
    <m/>
    <m/>
    <m/>
    <m/>
    <s v="+"/>
    <m/>
    <m/>
    <m/>
    <m/>
    <m/>
    <m/>
    <m/>
    <n v="7"/>
  </r>
  <r>
    <s v="Конопкина Наталья"/>
    <x v="13"/>
    <x v="1"/>
    <s v="+"/>
    <m/>
    <m/>
    <m/>
    <m/>
    <m/>
    <m/>
    <s v="+"/>
    <m/>
    <m/>
    <m/>
    <m/>
    <m/>
    <m/>
    <s v="+"/>
    <m/>
    <m/>
    <m/>
    <m/>
    <m/>
    <m/>
    <s v="+"/>
    <m/>
    <m/>
    <m/>
    <m/>
    <m/>
    <m/>
    <m/>
    <m/>
    <m/>
    <n v="4"/>
  </r>
  <r>
    <s v="Крюкова Настя"/>
    <x v="13"/>
    <x v="1"/>
    <s v="+"/>
    <m/>
    <s v="+"/>
    <m/>
    <m/>
    <m/>
    <m/>
    <m/>
    <s v="+"/>
    <m/>
    <m/>
    <m/>
    <m/>
    <m/>
    <m/>
    <m/>
    <m/>
    <m/>
    <m/>
    <m/>
    <m/>
    <s v="+"/>
    <m/>
    <s v="+"/>
    <m/>
    <m/>
    <m/>
    <m/>
    <m/>
    <m/>
    <m/>
    <n v="5"/>
  </r>
  <r>
    <s v="Пирожникова Алиса"/>
    <x v="2"/>
    <x v="0"/>
    <s v="П"/>
    <m/>
    <s v="+"/>
    <m/>
    <m/>
    <m/>
    <m/>
    <s v="+"/>
    <m/>
    <s v="+"/>
    <m/>
    <m/>
    <m/>
    <m/>
    <m/>
    <m/>
    <m/>
    <m/>
    <m/>
    <m/>
    <m/>
    <m/>
    <m/>
    <m/>
    <m/>
    <m/>
    <m/>
    <m/>
    <m/>
    <m/>
    <m/>
    <n v="4"/>
  </r>
  <r>
    <s v="Першминова Маша"/>
    <x v="2"/>
    <x v="0"/>
    <m/>
    <m/>
    <m/>
    <m/>
    <m/>
    <m/>
    <m/>
    <s v="+"/>
    <m/>
    <s v="+"/>
    <m/>
    <m/>
    <m/>
    <m/>
    <s v="+"/>
    <m/>
    <m/>
    <m/>
    <m/>
    <m/>
    <m/>
    <s v="+"/>
    <m/>
    <s v="+"/>
    <m/>
    <m/>
    <m/>
    <m/>
    <m/>
    <m/>
    <m/>
    <n v="5"/>
  </r>
  <r>
    <s v="Москаленко Катя"/>
    <x v="13"/>
    <x v="1"/>
    <s v="П"/>
    <m/>
    <m/>
    <m/>
    <m/>
    <m/>
    <m/>
    <m/>
    <m/>
    <s v="+"/>
    <m/>
    <m/>
    <m/>
    <m/>
    <m/>
    <m/>
    <s v="+"/>
    <m/>
    <m/>
    <m/>
    <m/>
    <s v="+"/>
    <m/>
    <m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39BB5-358E-4E47-9798-89C64288A4B3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F21" firstHeaderRow="0" firstDataRow="1" firstDataCol="1"/>
  <pivotFields count="36">
    <pivotField showAll="0"/>
    <pivotField axis="axisRow" showAll="0">
      <items count="17">
        <item m="1" x="14"/>
        <item x="3"/>
        <item x="4"/>
        <item x="2"/>
        <item x="1"/>
        <item x="0"/>
        <item x="7"/>
        <item x="8"/>
        <item x="9"/>
        <item x="10"/>
        <item x="12"/>
        <item x="13"/>
        <item x="6"/>
        <item x="5"/>
        <item x="11"/>
        <item m="1" x="15"/>
        <item t="default"/>
      </items>
    </pivotField>
    <pivotField axis="axisRow" showAll="0">
      <items count="6">
        <item h="1" sd="0" m="1" x="3"/>
        <item x="0"/>
        <item x="2"/>
        <item x="1"/>
        <item h="1" m="1"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ragToRow="0" dragToCol="0" dragToPage="0" showAll="0" defaultSubtotal="0"/>
  </pivotFields>
  <rowFields count="2">
    <field x="2"/>
    <field x="1"/>
  </rowFields>
  <rowItems count="18">
    <i>
      <x v="1"/>
    </i>
    <i r="1">
      <x v="3"/>
    </i>
    <i r="1">
      <x v="4"/>
    </i>
    <i r="1">
      <x v="5"/>
    </i>
    <i r="1">
      <x v="13"/>
    </i>
    <i>
      <x v="2"/>
    </i>
    <i r="1">
      <x v="2"/>
    </i>
    <i r="1">
      <x v="12"/>
    </i>
    <i>
      <x v="3"/>
    </i>
    <i r="1"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dataFields count="31">
    <dataField name="01_" fld="3" subtotal="count" baseField="2" baseItem="1"/>
    <dataField name="02_" fld="4" subtotal="count" baseField="2" baseItem="1"/>
    <dataField name="03_" fld="5" subtotal="count" baseField="2" baseItem="1"/>
    <dataField name="04_" fld="6" subtotal="count" baseField="2" baseItem="1"/>
    <dataField name="05_" fld="7" subtotal="count" baseField="2" baseItem="1"/>
    <dataField name="06_" fld="8" subtotal="count" baseField="2" baseItem="1"/>
    <dataField name="07_" fld="9" subtotal="count" baseField="1" baseItem="4"/>
    <dataField name="08_" fld="10" subtotal="count" baseField="1" baseItem="4"/>
    <dataField name="09_" fld="11" subtotal="count" baseField="1" baseItem="4"/>
    <dataField name="10_" fld="12" subtotal="count" baseField="1" baseItem="4"/>
    <dataField name="11_" fld="13" subtotal="count" baseField="2" baseItem="1"/>
    <dataField name="12_" fld="14" subtotal="count" baseField="2" baseItem="1"/>
    <dataField name="13_" fld="15" subtotal="count" baseField="2" baseItem="1"/>
    <dataField name="14_" fld="16" subtotal="count" baseField="2" baseItem="1"/>
    <dataField name="15_" fld="17" subtotal="count" baseField="2" baseItem="1"/>
    <dataField name="16_" fld="18" subtotal="count" baseField="2" baseItem="1"/>
    <dataField name="17_" fld="19" subtotal="count" baseField="2" baseItem="1"/>
    <dataField name="18_" fld="20" subtotal="count" baseField="2" baseItem="1"/>
    <dataField name="19_" fld="21" subtotal="count" baseField="2" baseItem="1"/>
    <dataField name="20_" fld="22" subtotal="count" baseField="2" baseItem="1"/>
    <dataField name="21_" fld="23" subtotal="count" baseField="2" baseItem="1"/>
    <dataField name="22_" fld="24" subtotal="count" baseField="2" baseItem="1"/>
    <dataField name="23_" fld="25" subtotal="count" baseField="2" baseItem="1"/>
    <dataField name="24_" fld="26" subtotal="count" baseField="2" baseItem="1"/>
    <dataField name="25_" fld="27" subtotal="count" baseField="2" baseItem="1"/>
    <dataField name="26_" fld="28" subtotal="count" baseField="2" baseItem="1"/>
    <dataField name="27_" fld="29" subtotal="count" baseField="2" baseItem="1"/>
    <dataField name="28_" fld="30" subtotal="count" baseField="2" baseItem="1"/>
    <dataField name="29_" fld="31" subtotal="count" baseField="2" baseItem="1"/>
    <dataField name="30_" fld="32" subtotal="count" baseField="2" baseItem="1"/>
    <dataField name="31_" fld="33" subtotal="count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Доходы" displayName="Доходы" ref="A1:M113" totalsRowCount="1" headerRowDxfId="355" dataDxfId="354" totalsRowDxfId="353">
  <autoFilter ref="A1:M112" xr:uid="{00000000-0009-0000-0100-000004000000}"/>
  <sortState xmlns:xlrd2="http://schemas.microsoft.com/office/spreadsheetml/2017/richdata2" ref="A2:M112">
    <sortCondition ref="J1:J112"/>
  </sortState>
  <tableColumns count="13">
    <tableColumn id="1" xr3:uid="{00000000-0010-0000-0000-000001000000}" name="№ п.п." totalsRowLabel="Итог" dataDxfId="107" totalsRowDxfId="85">
      <calculatedColumnFormula>+ROW()-1</calculatedColumnFormula>
    </tableColumn>
    <tableColumn id="2" xr3:uid="{00000000-0010-0000-0000-000002000000}" name="Ф.И.О." dataDxfId="106" totalsRowDxfId="84"/>
    <tableColumn id="10" xr3:uid="{00000000-0010-0000-0000-00000A000000}" name="Группа" totalsRowFunction="custom" dataDxfId="105" totalsRowDxfId="83">
      <totalsRowFormula array="1">SUM(1/COUNTIF(Доходы[Группа],Доходы[Группа]))</totalsRowFormula>
    </tableColumn>
    <tableColumn id="11" xr3:uid="{00000000-0010-0000-0000-00000B000000}" name="Хореограф" totalsRowFunction="custom" dataDxfId="104" totalsRowDxfId="82">
      <totalsRowFormula array="1">SUM(1/COUNTIF(Доходы[Хореограф],Доходы[Хореограф]))</totalsRowFormula>
    </tableColumn>
    <tableColumn id="8" xr3:uid="{00000000-0010-0000-0000-000008000000}" name="Абонимент" totalsRowFunction="sum" dataDxfId="103" totalsRowDxfId="81"/>
    <tableColumn id="3" xr3:uid="{00000000-0010-0000-0000-000003000000}" name="Наличная" totalsRowFunction="sum" dataDxfId="102" totalsRowDxfId="80"/>
    <tableColumn id="4" xr3:uid="{00000000-0010-0000-0000-000004000000}" name="Дата" dataDxfId="101" totalsRowDxfId="79"/>
    <tableColumn id="5" xr3:uid="{00000000-0010-0000-0000-000005000000}" name="Безналичная" totalsRowFunction="sum" dataDxfId="100" totalsRowDxfId="78"/>
    <tableColumn id="6" xr3:uid="{00000000-0010-0000-0000-000006000000}" name="Дата2" dataDxfId="99" totalsRowDxfId="77"/>
    <tableColumn id="7" xr3:uid="{00000000-0010-0000-0000-000007000000}" name="Прибыль" totalsRowFunction="sum" dataDxfId="98" totalsRowDxfId="76">
      <calculatedColumnFormula>Доходы[[#This Row],[Безналичная]]+Доходы[[#This Row],[Наличная]]</calculatedColumnFormula>
    </tableColumn>
    <tableColumn id="12" xr3:uid="{00000000-0010-0000-0000-00000C000000}" name="Ожидаемая" totalsRowFunction="sum" dataDxfId="97" totalsRowDxfId="75">
      <calculatedColumnFormula>Доходы[[#This Row],[Абонимент]]-Доходы[[#This Row],[Баланс]]</calculatedColumnFormula>
    </tableColumn>
    <tableColumn id="14" xr3:uid="{00000000-0010-0000-0000-00000E000000}" name="Баланс" dataDxfId="96" totalsRowDxfId="74">
      <calculatedColumnFormula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calculatedColumnFormula>
    </tableColumn>
    <tableColumn id="9" xr3:uid="{00000000-0010-0000-0000-000009000000}" name="Примечание" dataDxfId="95" totalsRowDxfId="7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Баланс_прошлого" displayName="Баланс_прошлого" ref="A2:E10" totalsRowShown="0">
  <autoFilter ref="A2:E10" xr:uid="{00000000-0009-0000-0100-000005000000}"/>
  <tableColumns count="5">
    <tableColumn id="1" xr3:uid="{00000000-0010-0000-0100-000001000000}" name="Ф.И.О." dataDxfId="352"/>
    <tableColumn id="2" xr3:uid="{00000000-0010-0000-0100-000002000000}" name="Группа" dataDxfId="351"/>
    <tableColumn id="3" xr3:uid="{00000000-0010-0000-0100-000003000000}" name="Причина" dataDxfId="350"/>
    <tableColumn id="4" xr3:uid="{00000000-0010-0000-0100-000004000000}" name="Сумма" dataDxfId="349"/>
    <tableColumn id="5" xr3:uid="{00000000-0010-0000-0100-000005000000}" name="Период" dataDxfId="3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Долг_прошлого" displayName="Долг_прошлого" ref="G2:K4" totalsRowShown="0" dataDxfId="347" tableBorderDxfId="346">
  <autoFilter ref="G2:K4" xr:uid="{00000000-0009-0000-0100-000006000000}"/>
  <tableColumns count="5">
    <tableColumn id="1" xr3:uid="{00000000-0010-0000-0200-000001000000}" name="Ф.И.О." dataDxfId="345"/>
    <tableColumn id="2" xr3:uid="{00000000-0010-0000-0200-000002000000}" name="Группа" dataDxfId="344"/>
    <tableColumn id="3" xr3:uid="{00000000-0010-0000-0200-000003000000}" name="Причина" dataDxfId="343"/>
    <tableColumn id="4" xr3:uid="{00000000-0010-0000-0200-000004000000}" name="Сумма" dataDxfId="342"/>
    <tableColumn id="5" xr3:uid="{00000000-0010-0000-0200-000005000000}" name="Период" dataDxfId="34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Таблица_расходы" displayName="Таблица_расходы" ref="A1:E13" totalsRowCount="1">
  <autoFilter ref="A1:E12" xr:uid="{00000000-0009-0000-0100-000010000000}"/>
  <tableColumns count="5">
    <tableColumn id="1" xr3:uid="{00000000-0010-0000-0600-000001000000}" name="№ п.п." totalsRowLabel="Итог" dataDxfId="340" totalsRowDxfId="339">
      <calculatedColumnFormula>ROW()-1</calculatedColumnFormula>
    </tableColumn>
    <tableColumn id="2" xr3:uid="{00000000-0010-0000-0600-000002000000}" name="Наименование" dataDxfId="338" totalsRowDxfId="337"/>
    <tableColumn id="3" xr3:uid="{00000000-0010-0000-0600-000003000000}" name="Способ" dataDxfId="336" totalsRowDxfId="335"/>
    <tableColumn id="4" xr3:uid="{00000000-0010-0000-0600-000004000000}" name="Дата" dataDxfId="334" totalsRowDxfId="333"/>
    <tableColumn id="5" xr3:uid="{00000000-0010-0000-0600-000005000000}" name="Сумма" totalsRowFunction="su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Перерасчет_текущий" displayName="Перерасчет_текущий" ref="A2:E8" totalsRowShown="0">
  <autoFilter ref="A2:E8" xr:uid="{00000000-0009-0000-0100-000007000000}"/>
  <tableColumns count="5">
    <tableColumn id="1" xr3:uid="{00000000-0010-0000-0300-000001000000}" name="Ф.И.О." dataDxfId="94"/>
    <tableColumn id="2" xr3:uid="{00000000-0010-0000-0300-000002000000}" name="Группа" dataDxfId="93"/>
    <tableColumn id="3" xr3:uid="{00000000-0010-0000-0300-000003000000}" name="Причина" dataDxfId="332"/>
    <tableColumn id="4" xr3:uid="{00000000-0010-0000-0300-000004000000}" name="Сумма" dataDxfId="331"/>
    <tableColumn id="5" xr3:uid="{00000000-0010-0000-0300-000005000000}" name="Период" dataDxfId="33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Долг_текущий" displayName="Долг_текущий" ref="G2:K4" totalsRowShown="0" tableBorderDxfId="329">
  <autoFilter ref="G2:K4" xr:uid="{00000000-0009-0000-0100-000008000000}"/>
  <tableColumns count="5">
    <tableColumn id="1" xr3:uid="{00000000-0010-0000-0400-000001000000}" name="Ф.И.О." dataDxfId="87"/>
    <tableColumn id="2" xr3:uid="{00000000-0010-0000-0400-000002000000}" name="Группа" dataDxfId="86"/>
    <tableColumn id="3" xr3:uid="{00000000-0010-0000-0400-000003000000}" name="Причина" dataDxfId="328"/>
    <tableColumn id="4" xr3:uid="{00000000-0010-0000-0400-000004000000}" name="Сумма" dataDxfId="327">
      <calculatedColumnFormula>450*2</calculatedColumnFormula>
    </tableColumn>
    <tableColumn id="5" xr3:uid="{00000000-0010-0000-0400-000005000000}" name="Период" dataDxfId="32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Таблица_прочий_доход" displayName="Таблица_прочий_доход" ref="A1:H21" totalsRowCount="1" headerRowDxfId="325" tableBorderDxfId="324">
  <autoFilter ref="A1:H20" xr:uid="{00000000-0009-0000-0100-00000B000000}"/>
  <tableColumns count="8">
    <tableColumn id="1" xr3:uid="{00000000-0010-0000-0500-000001000000}" name="№ п.п." totalsRowLabel="Итог" dataDxfId="323">
      <calculatedColumnFormula>ROW()-1</calculatedColumnFormula>
    </tableColumn>
    <tableColumn id="2" xr3:uid="{00000000-0010-0000-0500-000002000000}" name="Наименование" totalsRowFunction="custom" dataDxfId="322">
      <totalsRowFormula array="1">SUM(1/COUNTIF(Таблица_прочий_доход[Наименование],Таблица_прочий_доход[Наименование]))</totalsRowFormula>
    </tableColumn>
    <tableColumn id="9" xr3:uid="{00000000-0010-0000-0500-000009000000}" name="Ф.И.О." totalsRowFunction="custom" dataDxfId="321">
      <totalsRowFormula array="1">SUM(1/COUNTIF(Таблица_прочий_доход[Ф.И.О.],Таблица_прочий_доход[Ф.И.О.]))</totalsRowFormula>
    </tableColumn>
    <tableColumn id="3" xr3:uid="{00000000-0010-0000-0500-000003000000}" name="Наличная" totalsRowFunction="sum" dataDxfId="320" totalsRowDxfId="72"/>
    <tableColumn id="4" xr3:uid="{00000000-0010-0000-0500-000004000000}" name="Дата" dataDxfId="319"/>
    <tableColumn id="5" xr3:uid="{00000000-0010-0000-0500-000005000000}" name="Безналичная" totalsRowFunction="sum" dataDxfId="318" totalsRowDxfId="71"/>
    <tableColumn id="6" xr3:uid="{00000000-0010-0000-0500-000006000000}" name="Дата2" dataDxfId="317"/>
    <tableColumn id="7" xr3:uid="{00000000-0010-0000-0500-000007000000}" name="Прибыль" totalsRowFunction="sum" dataDxfId="316" totalsRowDxfId="70">
      <calculatedColumnFormula>SUM(Таблица_прочий_доход[[#This Row],[Безналичная]],Таблица_прочий_доход[[#This Row],[Наличная]])</calculatedColumnFormula>
    </tableColumn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Таблица_посещаемость" displayName="Таблица_посещаемость" ref="A1:AI112" totalsRowCount="1" headerRowDxfId="315" tableBorderDxfId="314">
  <autoFilter ref="A1:AI111" xr:uid="{00000000-0009-0000-0100-000001000000}"/>
  <tableColumns count="35">
    <tableColumn id="2" xr3:uid="{00000000-0010-0000-1000-000002000000}" name="Ф.И.О." totalsRowLabel="Итог" dataDxfId="35" totalsRowDxfId="34"/>
    <tableColumn id="3" xr3:uid="{00000000-0010-0000-1000-000003000000}" name="Группа" dataDxfId="69" totalsRowDxfId="33"/>
    <tableColumn id="4" xr3:uid="{00000000-0010-0000-1000-000004000000}" name="Хореограф" dataDxfId="68" totalsRowDxfId="32"/>
    <tableColumn id="5" xr3:uid="{00000000-0010-0000-1000-000005000000}" name="01" totalsRowFunction="custom" dataDxfId="67" totalsRowDxfId="31">
      <totalsRowFormula>COUNTA(Таблица_посещаемость[01])</totalsRowFormula>
    </tableColumn>
    <tableColumn id="6" xr3:uid="{00000000-0010-0000-1000-000006000000}" name="02" totalsRowFunction="custom" dataDxfId="66" totalsRowDxfId="30">
      <totalsRowFormula>COUNTA(Таблица_посещаемость[02])</totalsRowFormula>
    </tableColumn>
    <tableColumn id="7" xr3:uid="{00000000-0010-0000-1000-000007000000}" name="03" totalsRowFunction="custom" dataDxfId="65" totalsRowDxfId="29">
      <totalsRowFormula>COUNTA(Таблица_посещаемость[03])</totalsRowFormula>
    </tableColumn>
    <tableColumn id="8" xr3:uid="{00000000-0010-0000-1000-000008000000}" name="04" totalsRowFunction="custom" dataDxfId="64" totalsRowDxfId="28">
      <totalsRowFormula>COUNTA(Таблица_посещаемость[04])</totalsRowFormula>
    </tableColumn>
    <tableColumn id="9" xr3:uid="{00000000-0010-0000-1000-000009000000}" name="05" totalsRowFunction="custom" dataDxfId="63" totalsRowDxfId="27">
      <totalsRowFormula>COUNTA(Таблица_посещаемость[05])</totalsRowFormula>
    </tableColumn>
    <tableColumn id="10" xr3:uid="{00000000-0010-0000-1000-00000A000000}" name="06" totalsRowFunction="custom" dataDxfId="62" totalsRowDxfId="26">
      <totalsRowFormula>COUNTA(Таблица_посещаемость[06])</totalsRowFormula>
    </tableColumn>
    <tableColumn id="11" xr3:uid="{00000000-0010-0000-1000-00000B000000}" name="07" totalsRowFunction="custom" dataDxfId="61" totalsRowDxfId="25">
      <totalsRowFormula>COUNTA(Таблица_посещаемость[07])</totalsRowFormula>
    </tableColumn>
    <tableColumn id="12" xr3:uid="{00000000-0010-0000-1000-00000C000000}" name="08" totalsRowFunction="custom" dataDxfId="60" totalsRowDxfId="24">
      <totalsRowFormula>COUNTA(Таблица_посещаемость[08])</totalsRowFormula>
    </tableColumn>
    <tableColumn id="13" xr3:uid="{00000000-0010-0000-1000-00000D000000}" name="09" totalsRowFunction="custom" dataDxfId="59" totalsRowDxfId="23">
      <totalsRowFormula>COUNTA(Таблица_посещаемость[09])</totalsRowFormula>
    </tableColumn>
    <tableColumn id="14" xr3:uid="{00000000-0010-0000-1000-00000E000000}" name="10" totalsRowFunction="custom" dataDxfId="58" totalsRowDxfId="22">
      <totalsRowFormula>COUNTA(Таблица_посещаемость[10])</totalsRowFormula>
    </tableColumn>
    <tableColumn id="15" xr3:uid="{00000000-0010-0000-1000-00000F000000}" name="11" totalsRowFunction="custom" dataDxfId="57" totalsRowDxfId="21">
      <totalsRowFormula>COUNTA(Таблица_посещаемость[11])</totalsRowFormula>
    </tableColumn>
    <tableColumn id="16" xr3:uid="{00000000-0010-0000-1000-000010000000}" name="12" totalsRowFunction="custom" dataDxfId="56" totalsRowDxfId="20">
      <totalsRowFormula>COUNTA(Таблица_посещаемость[12])</totalsRowFormula>
    </tableColumn>
    <tableColumn id="17" xr3:uid="{00000000-0010-0000-1000-000011000000}" name="13" totalsRowFunction="custom" dataDxfId="55" totalsRowDxfId="19">
      <totalsRowFormula>COUNTA(Таблица_посещаемость[13])</totalsRowFormula>
    </tableColumn>
    <tableColumn id="18" xr3:uid="{00000000-0010-0000-1000-000012000000}" name="14" totalsRowFunction="custom" dataDxfId="54" totalsRowDxfId="18">
      <totalsRowFormula>COUNTA(Таблица_посещаемость[14])</totalsRowFormula>
    </tableColumn>
    <tableColumn id="19" xr3:uid="{00000000-0010-0000-1000-000013000000}" name="15" totalsRowFunction="custom" dataDxfId="53" totalsRowDxfId="17">
      <totalsRowFormula>COUNTA(Таблица_посещаемость[15])</totalsRowFormula>
    </tableColumn>
    <tableColumn id="20" xr3:uid="{00000000-0010-0000-1000-000014000000}" name="16" totalsRowFunction="custom" dataDxfId="52" totalsRowDxfId="16">
      <totalsRowFormula>COUNTA(Таблица_посещаемость[16])</totalsRowFormula>
    </tableColumn>
    <tableColumn id="21" xr3:uid="{00000000-0010-0000-1000-000015000000}" name="17" totalsRowFunction="custom" dataDxfId="51" totalsRowDxfId="15">
      <totalsRowFormula>COUNTA(Таблица_посещаемость[17])</totalsRowFormula>
    </tableColumn>
    <tableColumn id="22" xr3:uid="{00000000-0010-0000-1000-000016000000}" name="18" totalsRowFunction="custom" dataDxfId="50" totalsRowDxfId="14">
      <totalsRowFormula>COUNTA(Таблица_посещаемость[18])</totalsRowFormula>
    </tableColumn>
    <tableColumn id="23" xr3:uid="{00000000-0010-0000-1000-000017000000}" name="19" totalsRowFunction="custom" dataDxfId="49" totalsRowDxfId="13">
      <totalsRowFormula>COUNTA(Таблица_посещаемость[19])</totalsRowFormula>
    </tableColumn>
    <tableColumn id="24" xr3:uid="{00000000-0010-0000-1000-000018000000}" name="20" totalsRowFunction="custom" dataDxfId="48" totalsRowDxfId="12">
      <totalsRowFormula>COUNTA(Таблица_посещаемость[20])</totalsRowFormula>
    </tableColumn>
    <tableColumn id="25" xr3:uid="{00000000-0010-0000-1000-000019000000}" name="21" totalsRowFunction="custom" dataDxfId="47" totalsRowDxfId="11">
      <totalsRowFormula>COUNTA(Таблица_посещаемость[21])</totalsRowFormula>
    </tableColumn>
    <tableColumn id="26" xr3:uid="{00000000-0010-0000-1000-00001A000000}" name="22" totalsRowFunction="custom" dataDxfId="46" totalsRowDxfId="10">
      <totalsRowFormula>COUNTA(Таблица_посещаемость[22])</totalsRowFormula>
    </tableColumn>
    <tableColumn id="27" xr3:uid="{00000000-0010-0000-1000-00001B000000}" name="23" totalsRowFunction="custom" dataDxfId="45" totalsRowDxfId="9">
      <totalsRowFormula>COUNTA(Таблица_посещаемость[23])</totalsRowFormula>
    </tableColumn>
    <tableColumn id="28" xr3:uid="{00000000-0010-0000-1000-00001C000000}" name="24" totalsRowFunction="custom" dataDxfId="44" totalsRowDxfId="8">
      <totalsRowFormula>COUNTA(Таблица_посещаемость[24])</totalsRowFormula>
    </tableColumn>
    <tableColumn id="29" xr3:uid="{00000000-0010-0000-1000-00001D000000}" name="25" totalsRowFunction="custom" dataDxfId="43" totalsRowDxfId="7">
      <totalsRowFormula>COUNTA(Таблица_посещаемость[25])</totalsRowFormula>
    </tableColumn>
    <tableColumn id="30" xr3:uid="{00000000-0010-0000-1000-00001E000000}" name="26" totalsRowFunction="custom" dataDxfId="42" totalsRowDxfId="6">
      <totalsRowFormula>COUNTA(Таблица_посещаемость[26])</totalsRowFormula>
    </tableColumn>
    <tableColumn id="31" xr3:uid="{00000000-0010-0000-1000-00001F000000}" name="27" totalsRowFunction="custom" dataDxfId="41" totalsRowDxfId="5">
      <totalsRowFormula>COUNTA(Таблица_посещаемость[27])</totalsRowFormula>
    </tableColumn>
    <tableColumn id="32" xr3:uid="{00000000-0010-0000-1000-000020000000}" name="28" totalsRowFunction="custom" dataDxfId="40" totalsRowDxfId="4">
      <totalsRowFormula>COUNTA(Таблица_посещаемость[28])</totalsRowFormula>
    </tableColumn>
    <tableColumn id="33" xr3:uid="{00000000-0010-0000-1000-000021000000}" name="29" totalsRowFunction="custom" dataDxfId="39" totalsRowDxfId="3">
      <totalsRowFormula>COUNTA(Таблица_посещаемость[29])</totalsRowFormula>
    </tableColumn>
    <tableColumn id="34" xr3:uid="{00000000-0010-0000-1000-000022000000}" name="30" totalsRowFunction="custom" dataDxfId="38" totalsRowDxfId="2">
      <totalsRowFormula>COUNTA(Таблица_посещаемость[30])</totalsRowFormula>
    </tableColumn>
    <tableColumn id="35" xr3:uid="{00000000-0010-0000-1000-000023000000}" name="31" totalsRowFunction="custom" dataDxfId="37" totalsRowDxfId="1">
      <totalsRowFormula>COUNTA(Таблица_посещаемость[31])</totalsRowFormula>
    </tableColumn>
    <tableColumn id="1" xr3:uid="{00000000-0010-0000-1000-000001000000}" name="Всего" totalsRowFunction="custom" dataDxfId="36" totalsRowDxfId="0" dataCellStyle="60% — акцент1">
      <calculatedColumnFormula>COUNTIF(Таблица_посещаемость[[#This Row],[01]:[31]],"+")+COUNTIF(Таблица_посещаемость[[#This Row],[01]:[31]],"П")</calculatedColumnFormula>
      <totalsRowFormula>SUM(Таблица_посещаемость[Всего])</totalsRowFormula>
    </tableColumn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1000000}" name="Администратор_посещаемость" displayName="Администратор_посещаемость" ref="B116:AI118" totalsRowShown="0" headerRowDxfId="313" dataDxfId="312">
  <autoFilter ref="B116:AI118" xr:uid="{00000000-0009-0000-0100-00000F000000}"/>
  <tableColumns count="34">
    <tableColumn id="1" xr3:uid="{00000000-0010-0000-1100-000001000000}" name="№ п.п." dataDxfId="311">
      <calculatedColumnFormula>ROW()-ROW(Администратор_посещаемость[[#Headers],[№ п.п.]])</calculatedColumnFormula>
    </tableColumn>
    <tableColumn id="2" xr3:uid="{00000000-0010-0000-1100-000002000000}" name="Администратор" dataDxfId="310"/>
    <tableColumn id="3" xr3:uid="{00000000-0010-0000-1100-000003000000}" name="01" dataDxfId="309"/>
    <tableColumn id="4" xr3:uid="{00000000-0010-0000-1100-000004000000}" name="02" dataDxfId="308"/>
    <tableColumn id="5" xr3:uid="{00000000-0010-0000-1100-000005000000}" name="03" dataDxfId="307"/>
    <tableColumn id="6" xr3:uid="{00000000-0010-0000-1100-000006000000}" name="04" dataDxfId="306"/>
    <tableColumn id="7" xr3:uid="{00000000-0010-0000-1100-000007000000}" name="05" dataDxfId="305"/>
    <tableColumn id="8" xr3:uid="{00000000-0010-0000-1100-000008000000}" name="06" dataDxfId="304"/>
    <tableColumn id="9" xr3:uid="{00000000-0010-0000-1100-000009000000}" name="07" dataDxfId="303"/>
    <tableColumn id="10" xr3:uid="{00000000-0010-0000-1100-00000A000000}" name="08" dataDxfId="302"/>
    <tableColumn id="11" xr3:uid="{00000000-0010-0000-1100-00000B000000}" name="09" dataDxfId="301"/>
    <tableColumn id="12" xr3:uid="{00000000-0010-0000-1100-00000C000000}" name="10" dataDxfId="300"/>
    <tableColumn id="13" xr3:uid="{00000000-0010-0000-1100-00000D000000}" name="11" dataDxfId="299"/>
    <tableColumn id="14" xr3:uid="{00000000-0010-0000-1100-00000E000000}" name="12" dataDxfId="298"/>
    <tableColumn id="15" xr3:uid="{00000000-0010-0000-1100-00000F000000}" name="13" dataDxfId="297"/>
    <tableColumn id="16" xr3:uid="{00000000-0010-0000-1100-000010000000}" name="14" dataDxfId="296"/>
    <tableColumn id="17" xr3:uid="{00000000-0010-0000-1100-000011000000}" name="15" dataDxfId="295"/>
    <tableColumn id="18" xr3:uid="{00000000-0010-0000-1100-000012000000}" name="16" dataDxfId="294"/>
    <tableColumn id="19" xr3:uid="{00000000-0010-0000-1100-000013000000}" name="17" dataDxfId="293"/>
    <tableColumn id="20" xr3:uid="{00000000-0010-0000-1100-000014000000}" name="18" dataDxfId="292"/>
    <tableColumn id="21" xr3:uid="{00000000-0010-0000-1100-000015000000}" name="19" dataDxfId="291"/>
    <tableColumn id="22" xr3:uid="{00000000-0010-0000-1100-000016000000}" name="20" dataDxfId="290"/>
    <tableColumn id="23" xr3:uid="{00000000-0010-0000-1100-000017000000}" name="21" dataDxfId="289"/>
    <tableColumn id="24" xr3:uid="{00000000-0010-0000-1100-000018000000}" name="22" dataDxfId="288"/>
    <tableColumn id="25" xr3:uid="{00000000-0010-0000-1100-000019000000}" name="23" dataDxfId="287"/>
    <tableColumn id="26" xr3:uid="{00000000-0010-0000-1100-00001A000000}" name="24" dataDxfId="286"/>
    <tableColumn id="27" xr3:uid="{00000000-0010-0000-1100-00001B000000}" name="25" dataDxfId="285"/>
    <tableColumn id="28" xr3:uid="{00000000-0010-0000-1100-00001C000000}" name="26" dataDxfId="284"/>
    <tableColumn id="29" xr3:uid="{00000000-0010-0000-1100-00001D000000}" name="27" dataDxfId="283"/>
    <tableColumn id="30" xr3:uid="{00000000-0010-0000-1100-00001E000000}" name="28" dataDxfId="282"/>
    <tableColumn id="31" xr3:uid="{00000000-0010-0000-1100-00001F000000}" name="29" dataDxfId="281"/>
    <tableColumn id="32" xr3:uid="{00000000-0010-0000-1100-000020000000}" name="30" dataDxfId="280"/>
    <tableColumn id="33" xr3:uid="{00000000-0010-0000-1100-000021000000}" name="31" dataDxfId="279"/>
    <tableColumn id="34" xr3:uid="{00000000-0010-0000-1100-000022000000}" name="Всего" dataDxfId="278" dataCellStyle="60% — акцент1">
      <calculatedColumnFormula>COUNTIF(Администратор_посещаемость[[#This Row],[01]:[31]],"+")*700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2000000}" name="Наименования_наименования" displayName="Наименования_наименования" ref="A1:A15" totalsRowShown="0">
  <autoFilter ref="A1:A15" xr:uid="{00000000-0009-0000-0100-00000C000000}"/>
  <tableColumns count="1">
    <tableColumn id="1" xr3:uid="{00000000-0010-0000-1200-000001000000}" name="Группы" dataCellStyle="Обычный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Работники_наименования" displayName="Работники_наименования" ref="B1:C4" totalsRowShown="0">
  <autoFilter ref="B1:C4" xr:uid="{00000000-0009-0000-0100-000013000000}"/>
  <tableColumns count="2">
    <tableColumn id="1" xr3:uid="{00000000-0010-0000-1300-000001000000}" name="Хореограф"/>
    <tableColumn id="2" xr3:uid="{00000000-0010-0000-1300-000002000000}" name="Администратор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4000000}" name="Таблица20" displayName="Таблица20" ref="D1:D3" totalsRowShown="0">
  <autoFilter ref="D1:D3" xr:uid="{00000000-0009-0000-0100-000014000000}"/>
  <tableColumns count="1">
    <tableColumn id="1" xr3:uid="{00000000-0010-0000-1400-000001000000}" name="Доходы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865C4-3D0C-4CC8-B661-D46F89B267EB}" name="Доходы_ученики_итог_1половина" displayName="Доходы_ученики_итог_1половина" ref="B3:F7" totalsRowCount="1" headerRowDxfId="277">
  <autoFilter ref="B3:F6" xr:uid="{00000000-0009-0000-0100-000002000000}"/>
  <tableColumns count="5">
    <tableColumn id="5" xr3:uid="{9D4C9D74-371E-44C2-8958-9F4B848337FE}" name="№" totalsRowLabel="Итог" dataDxfId="276" totalsRowDxfId="275">
      <calculatedColumnFormula>+ROW()-3</calculatedColumnFormula>
    </tableColumn>
    <tableColumn id="1" xr3:uid="{321F6730-54AB-4F72-8A34-D00D5255373E}" name="Хореограф" dataDxfId="274" totalsRowDxfId="273"/>
    <tableColumn id="2" xr3:uid="{1065C6FE-F1DC-4153-91DB-8DCE0E15F5A1}" name="Наличный" totalsRowFunction="sum" dataDxfId="272" totalsRowDxfId="271">
      <calculatedColumnFormula>SUMIFS(Доходы[Наличная],Доходы[Хореограф],Доходы_ученики_итог_1половина[Хореограф],Доходы[Дата],"&lt;="&amp;$B$2)</calculatedColumnFormula>
    </tableColumn>
    <tableColumn id="3" xr3:uid="{4E81B9D0-CDA9-4ECC-95FC-1ADACA277BC3}" name="Безналичный" totalsRowFunction="sum" dataDxfId="270" totalsRowDxfId="269">
      <calculatedColumnFormula>SUMIFS(Доходы[Безналичная],Доходы[Хореограф],Доходы_ученики_итог_1половина[Хореограф],Доходы[Дата2],"&lt;="&amp;$B$2)</calculatedColumnFormula>
    </tableColumn>
    <tableColumn id="4" xr3:uid="{6D2574C9-3949-4980-B39D-F7554456EB4C}" name="Всего" totalsRowFunction="sum" dataDxfId="268" totalsRowDxfId="267">
      <calculatedColumnFormula>SUM(Доходы_ученики_итог_1половина[[#This Row],[Наличный]:[Безналичный]])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E7DAE-68A0-458B-A38F-86E21E3E678B}" name="Доходы_ученики_итог_2половина" displayName="Доходы_ученики_итог_2половина" ref="B9:F13" totalsRowCount="1" headerRowDxfId="266">
  <autoFilter ref="B9:F12" xr:uid="{00000000-0009-0000-0100-000003000000}"/>
  <tableColumns count="5">
    <tableColumn id="5" xr3:uid="{297CCEA7-4249-4B70-A75A-D29AD75F6683}" name="№" totalsRowLabel="Итог" dataDxfId="265" totalsRowDxfId="264" dataCellStyle="Обычный" totalsRowCellStyle="Обычный 2">
      <calculatedColumnFormula>+ROW()-ROW(Доходы_ученики_итог_2половина[[#Headers],[№]])</calculatedColumnFormula>
    </tableColumn>
    <tableColumn id="1" xr3:uid="{90CBAAAF-5F60-4146-9BEE-4AE6FD0D57A3}" name="Хореограф" dataDxfId="263" totalsRowDxfId="262" dataCellStyle="Обычный" totalsRowCellStyle="Обычный 2"/>
    <tableColumn id="2" xr3:uid="{DB5452CF-BCC2-4687-9895-AC524ABA1461}" name="Наличный" totalsRowFunction="sum" dataDxfId="261" totalsRowCellStyle="Обычный 2">
      <calculatedColumnFormula>SUMIFS(Доходы[Наличная],Доходы[Хореограф],Доходы_ученики_итог_2половина[Хореограф],Доходы[Дата],"&gt;"&amp;$B$2)</calculatedColumnFormula>
    </tableColumn>
    <tableColumn id="3" xr3:uid="{AA0C6ADA-DCB8-437C-8D6D-6488CB5910CA}" name="Безналичный" totalsRowFunction="sum" dataDxfId="260" totalsRowCellStyle="Обычный 2">
      <calculatedColumnFormula>SUMIFS(Доходы[Безналичная],Доходы[Хореограф],Доходы_ученики_итог_2половина[Хореограф],Доходы[Дата2],"&gt;"&amp;$B$2)</calculatedColumnFormula>
    </tableColumn>
    <tableColumn id="4" xr3:uid="{ECDC21D8-837C-4034-8021-84613F9B48CB}" name="Всего" totalsRowFunction="sum" dataDxfId="259" totalsRowCellStyle="Обычный 2">
      <calculatedColumnFormula>SUM(Доходы_ученики_итог_2половина[[#This Row],[Наличный]:[Безналичный]])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34FA90-4323-49C7-BFBD-2821453CA8D6}" name="Доход_прочие_итог_1половина" displayName="Доход_прочие_итог_1половина" ref="H3:L6" totalsRowCount="1" headerRowDxfId="258">
  <autoFilter ref="H3:L5" xr:uid="{00000000-0009-0000-0100-000009000000}"/>
  <tableColumns count="5">
    <tableColumn id="5" xr3:uid="{4EB4F03B-A0E2-4CE2-B1FE-63FB6DD48106}" name="№" totalsRowLabel="Итог" dataDxfId="257" totalsRowDxfId="256">
      <calculatedColumnFormula>+ROW()-3</calculatedColumnFormula>
    </tableColumn>
    <tableColumn id="1" xr3:uid="{D09066DD-C4D9-468A-B44A-345A4601642E}" name="Источник" dataDxfId="255" totalsRowDxfId="254"/>
    <tableColumn id="2" xr3:uid="{4273374D-875B-4D4B-88CB-B41AE2288C1D}" name="Наличный" totalsRowFunction="sum" dataDxfId="253" totalsRowDxfId="252">
      <calculatedColumnFormula>SUMIFS(Таблица_прочий_доход[Наличная],Таблица_прочий_доход[Наименование],Доход_прочие_итог_1половина[Источник],Таблица_прочий_доход[Дата],"&lt;="&amp;$H$2)</calculatedColumnFormula>
    </tableColumn>
    <tableColumn id="3" xr3:uid="{A94E1C1F-8CF8-4B78-A1AC-3DBA2375DC8A}" name="Безналичный" totalsRowFunction="sum" dataDxfId="251" totalsRowDxfId="250">
      <calculatedColumnFormula>SUMIFS(Таблица_прочий_доход[Безналичная],Таблица_прочий_доход[Наименование],Доход_прочие_итог_1половина[Источник],Таблица_прочий_доход[Дата2],"&lt;="&amp;$H$2)</calculatedColumnFormula>
    </tableColumn>
    <tableColumn id="4" xr3:uid="{714F8782-8E88-4AD6-A831-8EA9635DDEDB}" name="Всего" totalsRowFunction="sum" dataDxfId="249" totalsRowDxfId="248">
      <calculatedColumnFormula>SUM(Доход_прочие_итог_1половина[[#This Row],[Наличный]:[Безналичный]])</calculatedColumnFormula>
    </tableColumn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017AD6-F31E-4CFA-BBD1-CF668B44FAB7}" name="Доход_прочие_итог_2половина" displayName="Доход_прочие_итог_2половина" ref="H8:L11" totalsRowCount="1" headerRowDxfId="247">
  <autoFilter ref="H8:L10" xr:uid="{00000000-0009-0000-0100-00000A000000}"/>
  <tableColumns count="5">
    <tableColumn id="5" xr3:uid="{3F170DC0-AF08-4F8D-8C21-E04677951596}" name="№" totalsRowLabel="Итог" dataDxfId="246" totalsRowDxfId="245" dataCellStyle="Обычный">
      <calculatedColumnFormula>+ROW()-ROW(Доход_прочие_итог_2половина[[#Headers],[№]])</calculatedColumnFormula>
    </tableColumn>
    <tableColumn id="1" xr3:uid="{C0F0116E-D9EE-482B-ADAB-D8A845698876}" name="Источник" dataDxfId="244" totalsRowDxfId="243" dataCellStyle="Обычный"/>
    <tableColumn id="2" xr3:uid="{BDFB427C-C37A-444F-997F-ED83B6DF48EF}" name="Наличный" totalsRowFunction="sum" dataDxfId="242" totalsRowDxfId="241">
      <calculatedColumnFormula>SUMIFS(Таблица_прочий_доход[Наличная],Таблица_прочий_доход[Наименование],Доход_прочие_итог_2половина[Источник],Таблица_прочий_доход[Дата],"&gt;"&amp;$H$2)</calculatedColumnFormula>
    </tableColumn>
    <tableColumn id="3" xr3:uid="{797E6762-2276-41DB-B91C-A46EFC8DE9D7}" name="Безналичный" totalsRowFunction="sum" dataDxfId="240" totalsRowDxfId="239">
      <calculatedColumnFormula>SUMIFS(Таблица_прочий_доход[Безналичная],Таблица_прочий_доход[Наименование],Доход_прочие_итог_2половина[Источник],Таблица_прочий_доход[Дата2],"&gt;"&amp;$H$2)</calculatedColumnFormula>
    </tableColumn>
    <tableColumn id="4" xr3:uid="{DD46FEDE-6A89-4B22-8BD8-FB7568BCE788}" name="Всего" totalsRowFunction="sum" dataDxfId="238" totalsRowDxfId="237">
      <calculatedColumnFormula>SUM(Доход_прочие_итог_2половина[[#This Row],[Наличный]:[Безналичный]])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17C17E7-7A37-4F68-927E-CCFE011EFDEB}" name="Доход_общий_итог" displayName="Доход_общий_итог" ref="N2:Q5" totalsRowCount="1" headerRowDxfId="236">
  <tableColumns count="4">
    <tableColumn id="1" xr3:uid="{3AECA1B4-0561-4390-A545-4313B5AF89C1}" name="Источник" totalsRowLabel="Итог" dataDxfId="235" totalsRowCellStyle="Обычный 2"/>
    <tableColumn id="2" xr3:uid="{049EBE18-386C-429F-B762-B58D30849487}" name="Наличный" totalsRowFunction="sum" dataDxfId="234" totalsRowCellStyle="Обычный 2">
      <calculatedColumnFormula>D14</calculatedColumnFormula>
    </tableColumn>
    <tableColumn id="3" xr3:uid="{F60E2B61-BF00-4376-8DF5-3A9C60996362}" name="Безналичный" totalsRowFunction="sum" dataDxfId="233" totalsRowCellStyle="Обычный 2">
      <calculatedColumnFormula>K11</calculatedColumnFormula>
    </tableColumn>
    <tableColumn id="4" xr3:uid="{23C11A28-07EA-4422-959A-7B38B5A5CE4B}" name="Всего" totalsRowFunction="sum" dataDxfId="232" dataCellStyle="Акцент5" totalsRowCellStyle="Акцент5">
      <calculatedColumnFormula>SUM(Доход_общий_итог[[#This Row],[Наличный]:[Безналичный]])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46C15C-09C9-46C1-BCA1-3EBFD96C3150}" name="Прибыль_общая_итог" displayName="Прибыль_общая_итог" ref="N7:Q12" totalsRowCount="1" headerRowDxfId="231" dataDxfId="230" tableBorderDxfId="229">
  <autoFilter ref="N7:Q11" xr:uid="{00000000-0009-0000-0100-000011000000}"/>
  <tableColumns count="4">
    <tableColumn id="1" xr3:uid="{64944C4C-26FA-4364-A798-84D602F33E2F}" name="Источник" totalsRowLabel="Итог" dataDxfId="228" totalsRowDxfId="227" totalsRowCellStyle="Обычный 2"/>
    <tableColumn id="2" xr3:uid="{DF396437-5BCC-406E-AD6E-5AC50165B6B9}" name="Наличный" totalsRowFunction="custom" dataDxfId="226" totalsRowDxfId="225" totalsRowCellStyle="Обычный 2">
      <calculatedColumnFormula>J11</calculatedColumnFormula>
      <totalsRowFormula>SUM(O8:O9)-SUM(O10:O11)</totalsRowFormula>
    </tableColumn>
    <tableColumn id="3" xr3:uid="{A38978AB-05BD-41F3-ACCC-47A6CF1A3E7F}" name="Безналичный" totalsRowFunction="custom" dataDxfId="224" totalsRowDxfId="223" totalsRowCellStyle="Обычный 2">
      <calculatedColumnFormula>K11</calculatedColumnFormula>
      <totalsRowFormula>SUM(P8:P9)-SUM(P10:P11)</totalsRowFormula>
    </tableColumn>
    <tableColumn id="4" xr3:uid="{87FEA98E-7678-4437-BE50-76559EC1AEDD}" name="Всего" totalsRowFunction="custom" totalsRowDxfId="222" dataCellStyle="Акцент5" totalsRowCellStyle="Акцент5">
      <calculatedColumnFormula>SUM(Прибыль_общая_итог[[#This Row],[Наличный]:[Безналичный]])</calculatedColumnFormula>
      <totalsRowFormula>SUM(Q8:Q9)-SUM(Q10:Q11)</totalsRow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A74ED7-9054-404E-9633-4BFC91D2A689}" name="Зарплата_Казанцева" displayName="Зарплата_Казанцева" ref="A22:AG27" totalsRowCount="1" headerRowDxfId="221">
  <autoFilter ref="A22:AG26" xr:uid="{00000000-0009-0000-0100-00000E000000}"/>
  <tableColumns count="33">
    <tableColumn id="1" xr3:uid="{46BF09A7-E571-4443-AA06-290B6F7A4ED1}" name="Казанцева Е.М." totalsRowLabel="Итог" totalsRowCellStyle="Обычный 2">
      <calculatedColumnFormula>A5</calculatedColumnFormula>
    </tableColumn>
    <tableColumn id="2" xr3:uid="{C40F3C98-5ADD-4F13-A4EC-6A9CFA12A816}" name="01" totalsRowFunction="sum" totalsRowCellStyle="Обычный 2"/>
    <tableColumn id="3" xr3:uid="{FCFA0A18-770A-4F29-B8DC-2D0EC1125C7D}" name="02" totalsRowFunction="sum" totalsRowCellStyle="Обычный 2"/>
    <tableColumn id="4" xr3:uid="{6365F693-4D3A-4A0B-AEF1-FB201B5594F0}" name="03" totalsRowFunction="sum" totalsRowCellStyle="Обычный 2"/>
    <tableColumn id="5" xr3:uid="{2053B6CC-870A-4EF3-AF9E-0BDA86F4E1BD}" name="04" totalsRowFunction="sum" totalsRowCellStyle="Обычный 2"/>
    <tableColumn id="6" xr3:uid="{5ED2941E-7F81-4494-8492-D8F58632E406}" name="05" totalsRowFunction="sum" totalsRowCellStyle="Обычный 2"/>
    <tableColumn id="7" xr3:uid="{38F05155-AEF5-4D3B-98A5-D47D17D1E86C}" name="06" totalsRowFunction="sum" totalsRowCellStyle="Обычный 2"/>
    <tableColumn id="8" xr3:uid="{9CA10E32-2746-4069-9F8D-CF0B7B0F2B69}" name="07" totalsRowFunction="sum" totalsRowCellStyle="Обычный 2"/>
    <tableColumn id="9" xr3:uid="{5A20E1A6-500B-4DA0-9036-8490B277C236}" name="08" totalsRowFunction="sum" totalsRowCellStyle="Обычный 2"/>
    <tableColumn id="10" xr3:uid="{8FE41E57-D45E-45C3-BEE8-776F445DBE6A}" name="09" totalsRowFunction="sum" totalsRowCellStyle="Обычный 2"/>
    <tableColumn id="11" xr3:uid="{77D62CB2-7234-4DDC-9463-B8C1DD20957B}" name="10" totalsRowFunction="sum" totalsRowCellStyle="Обычный 2"/>
    <tableColumn id="12" xr3:uid="{0C08F43E-9290-4B71-AC14-65697AFFB31B}" name="11" totalsRowFunction="sum" totalsRowCellStyle="Обычный 2"/>
    <tableColumn id="13" xr3:uid="{BD900133-7817-4EAB-A8DD-CB362F8CFC6A}" name="12" totalsRowFunction="sum" totalsRowCellStyle="Обычный 2"/>
    <tableColumn id="14" xr3:uid="{3A1E9301-859B-463D-A035-E479FE0F8952}" name="13" totalsRowFunction="sum" totalsRowCellStyle="Обычный 2"/>
    <tableColumn id="15" xr3:uid="{7247C2EC-EDA2-44F0-A4CC-CDC578793C77}" name="14" totalsRowFunction="sum" totalsRowCellStyle="Обычный 2"/>
    <tableColumn id="16" xr3:uid="{905D8C1C-01B2-4BAA-89EA-0ACFA5E67BD6}" name="15" totalsRowFunction="sum" totalsRowCellStyle="Обычный 2"/>
    <tableColumn id="17" xr3:uid="{82E3EFEE-76A3-402F-B893-7AD705C360C2}" name="16" totalsRowFunction="sum" totalsRowCellStyle="Обычный 2"/>
    <tableColumn id="18" xr3:uid="{60D1CDB4-ACCC-4140-A078-47044C49872F}" name="17" totalsRowFunction="sum" totalsRowCellStyle="Обычный 2"/>
    <tableColumn id="19" xr3:uid="{2A80C111-51FC-4A7C-BE45-DAAD43D4397A}" name="18" totalsRowFunction="sum" totalsRowCellStyle="Обычный 2"/>
    <tableColumn id="20" xr3:uid="{E977BEC9-A44F-4D14-A1DB-85A334284151}" name="19" totalsRowFunction="sum" totalsRowCellStyle="Обычный 2"/>
    <tableColumn id="21" xr3:uid="{E41DDBC8-B2B8-4B4A-B4B8-4463953289B2}" name="20" totalsRowFunction="sum" totalsRowCellStyle="Обычный 2"/>
    <tableColumn id="22" xr3:uid="{18EEE348-AB14-45E4-8803-43167F0261C3}" name="21" totalsRowFunction="sum" totalsRowCellStyle="Обычный 2"/>
    <tableColumn id="23" xr3:uid="{2AB7075F-6C80-4D80-9E03-10CC15D5F073}" name="22" totalsRowFunction="sum" totalsRowCellStyle="Обычный 2"/>
    <tableColumn id="24" xr3:uid="{CA5F3CDA-964E-4B8E-B9A9-55BFE9386005}" name="23" totalsRowFunction="sum" totalsRowCellStyle="Обычный 2"/>
    <tableColumn id="25" xr3:uid="{1982AA57-B47F-4A1F-B614-969C256B3908}" name="24" totalsRowFunction="sum" totalsRowCellStyle="Обычный 2"/>
    <tableColumn id="26" xr3:uid="{23E2DE15-5892-4128-867D-29EB605FD899}" name="25" totalsRowFunction="sum" totalsRowCellStyle="Обычный 2"/>
    <tableColumn id="27" xr3:uid="{459AE41D-CCAA-4AD9-AB97-4331EA77D0BD}" name="26" totalsRowFunction="sum" totalsRowCellStyle="Обычный 2"/>
    <tableColumn id="28" xr3:uid="{A615B98D-D50C-48D2-814B-16DB089F2FFB}" name="27" totalsRowFunction="sum" totalsRowCellStyle="Обычный 2"/>
    <tableColumn id="29" xr3:uid="{623C145A-D70E-47B4-8386-CA73F7448AFF}" name="28" totalsRowFunction="sum" totalsRowCellStyle="Обычный 2"/>
    <tableColumn id="30" xr3:uid="{9C5AC325-6D65-4FED-B283-0E947469904E}" name="29" totalsRowFunction="sum" totalsRowCellStyle="Обычный 2"/>
    <tableColumn id="31" xr3:uid="{5F606DD9-82BF-49AE-9BC8-7CE7040F51DE}" name="30" totalsRowFunction="sum" totalsRowCellStyle="Обычный 2"/>
    <tableColumn id="32" xr3:uid="{15B2F029-FF61-40F6-9B86-A9C4C4DD4AEB}" name="31" totalsRowFunction="sum" totalsRowCellStyle="Обычный 2"/>
    <tableColumn id="33" xr3:uid="{38B36AD6-C259-4510-AACC-DD8B61646A58}" name="Всего" totalsRowFunction="sum" dataDxfId="220" totalsRowCellStyle="Акцент5">
      <calculatedColumnFormula>SUM(Зарплата_Казанцева[[#This Row],[01]:[31]])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D447EE-452E-4801-B6B1-876545AF2F53}" name="Зарплата_администратора" displayName="Зарплата_администратора" ref="A42:AG45" totalsRowCount="1" headerRowDxfId="219">
  <autoFilter ref="A42:AG44" xr:uid="{00000000-0009-0000-0100-000012000000}"/>
  <tableColumns count="33">
    <tableColumn id="1" xr3:uid="{2230BCBD-BE56-44A0-9621-AE9A759BD9A7}" name="ФИО администра" totalsRowLabel="Итог" dataDxfId="218" totalsRowDxfId="217"/>
    <tableColumn id="2" xr3:uid="{73394938-26BA-4B89-AD64-59FC2E25B030}" name="01" totalsRowFunction="sum" dataDxfId="216" totalsRowDxfId="215">
      <calculatedColumnFormula>IF(Посещаемость!D117="+",700,0)</calculatedColumnFormula>
    </tableColumn>
    <tableColumn id="3" xr3:uid="{D194C567-CB88-4B57-91B1-D44D32C1D55C}" name="02" totalsRowFunction="sum" totalsRowDxfId="214">
      <calculatedColumnFormula>IF(Посещаемость!E117="+",700,0)</calculatedColumnFormula>
    </tableColumn>
    <tableColumn id="4" xr3:uid="{43E4E4F6-390D-4F9B-92FE-5CC63552B422}" name="03" totalsRowFunction="sum" totalsRowDxfId="213">
      <calculatedColumnFormula>IF(Посещаемость!F117="+",700,0)</calculatedColumnFormula>
    </tableColumn>
    <tableColumn id="5" xr3:uid="{3EEE984F-F91A-43FC-AAC0-F15D087D5E54}" name="04" totalsRowFunction="sum" totalsRowDxfId="212">
      <calculatedColumnFormula>IF(Посещаемость!G117="+",700,0)</calculatedColumnFormula>
    </tableColumn>
    <tableColumn id="6" xr3:uid="{A0B41F7D-EDB9-4823-A168-28F7E20820B3}" name="05" totalsRowFunction="sum" totalsRowDxfId="211">
      <calculatedColumnFormula>IF(Посещаемость!H117="+",700,0)</calculatedColumnFormula>
    </tableColumn>
    <tableColumn id="7" xr3:uid="{B220A993-C0EB-4608-83A2-7606CB3D53CC}" name="06" totalsRowFunction="sum" dataDxfId="210" totalsRowDxfId="209">
      <calculatedColumnFormula>IF(Посещаемость!I117="+",700,0)</calculatedColumnFormula>
    </tableColumn>
    <tableColumn id="8" xr3:uid="{EE04B009-83BB-48FD-A3CF-094A09F579D0}" name="07" totalsRowFunction="sum" totalsRowDxfId="208">
      <calculatedColumnFormula>IF(Посещаемость!J117="+",700,0)</calculatedColumnFormula>
    </tableColumn>
    <tableColumn id="9" xr3:uid="{A8F98C17-66E6-46CB-AD34-146460E204B1}" name="08" totalsRowFunction="sum" totalsRowDxfId="207">
      <calculatedColumnFormula>IF(Посещаемость!K117="+",700,0)</calculatedColumnFormula>
    </tableColumn>
    <tableColumn id="10" xr3:uid="{65D26037-8B28-44F8-AE53-1665D7F24F12}" name="09" totalsRowFunction="sum" totalsRowDxfId="206">
      <calculatedColumnFormula>IF(Посещаемость!L117="+",700,0)</calculatedColumnFormula>
    </tableColumn>
    <tableColumn id="11" xr3:uid="{6A2BFD50-E0EA-4659-BD9E-EBD10D5A80B5}" name="10" totalsRowFunction="sum" totalsRowDxfId="205">
      <calculatedColumnFormula>IF(Посещаемость!M117="+",700,0)</calculatedColumnFormula>
    </tableColumn>
    <tableColumn id="12" xr3:uid="{A91F9791-CAB8-475E-BEF3-59EC6D39A8C1}" name="11" totalsRowFunction="sum" totalsRowDxfId="204">
      <calculatedColumnFormula>IF(Посещаемость!N117="+",700,0)</calculatedColumnFormula>
    </tableColumn>
    <tableColumn id="13" xr3:uid="{2D6C4A7F-51ED-48F6-B84D-816C76311D06}" name="12" totalsRowFunction="sum" totalsRowDxfId="203">
      <calculatedColumnFormula>IF(Посещаемость!O117="+",700,0)</calculatedColumnFormula>
    </tableColumn>
    <tableColumn id="14" xr3:uid="{4642CC1C-759B-439F-ACF3-8BAEA467263D}" name="13" totalsRowFunction="sum" totalsRowDxfId="202">
      <calculatedColumnFormula>IF(Посещаемость!P117="+",700,0)</calculatedColumnFormula>
    </tableColumn>
    <tableColumn id="15" xr3:uid="{74658B7B-04E8-46E1-8462-55FE5F6A97CC}" name="14" totalsRowFunction="sum" totalsRowDxfId="201">
      <calculatedColumnFormula>IF(Посещаемость!Q117="+",700,0)</calculatedColumnFormula>
    </tableColumn>
    <tableColumn id="16" xr3:uid="{0F03EF45-D9A2-41CE-9F7F-5B0F1D54339B}" name="15" totalsRowFunction="sum" totalsRowDxfId="200">
      <calculatedColumnFormula>IF(Посещаемость!R117="+",700,0)</calculatedColumnFormula>
    </tableColumn>
    <tableColumn id="17" xr3:uid="{91D034D9-8A97-49B0-8457-B1E9C5A6EFC4}" name="16" totalsRowFunction="sum" totalsRowDxfId="199">
      <calculatedColumnFormula>IF(Посещаемость!S117="+",700,0)</calculatedColumnFormula>
    </tableColumn>
    <tableColumn id="18" xr3:uid="{6DF8E4FC-43CE-48A9-860B-02D9CEC317B7}" name="17" totalsRowFunction="sum" totalsRowDxfId="198">
      <calculatedColumnFormula>IF(Посещаемость!T117="+",700,0)</calculatedColumnFormula>
    </tableColumn>
    <tableColumn id="19" xr3:uid="{A9DB773A-3DA2-453A-A81B-91A03077E194}" name="18" totalsRowFunction="sum" totalsRowDxfId="197">
      <calculatedColumnFormula>IF(Посещаемость!U117="+",700,0)</calculatedColumnFormula>
    </tableColumn>
    <tableColumn id="20" xr3:uid="{0D1FFE56-65EE-4D3D-9B0C-22C74E2103B2}" name="19" totalsRowFunction="sum" totalsRowDxfId="196">
      <calculatedColumnFormula>IF(Посещаемость!V117="+",700,0)</calculatedColumnFormula>
    </tableColumn>
    <tableColumn id="21" xr3:uid="{8C08162D-FAEB-4120-AE58-479DF84EDDFD}" name="20" totalsRowFunction="sum" totalsRowDxfId="195">
      <calculatedColumnFormula>IF(Посещаемость!W117="+",700,0)</calculatedColumnFormula>
    </tableColumn>
    <tableColumn id="22" xr3:uid="{BAEBDDC7-9396-4C47-8FB6-E4A571FD387E}" name="21" totalsRowFunction="sum" totalsRowDxfId="194">
      <calculatedColumnFormula>IF(Посещаемость!X117="+",700,0)</calculatedColumnFormula>
    </tableColumn>
    <tableColumn id="23" xr3:uid="{41E485D1-D8D4-4F83-90BA-F18D33CDF7A0}" name="22" totalsRowFunction="sum" totalsRowDxfId="193">
      <calculatedColumnFormula>IF(Посещаемость!Y117="+",700,0)</calculatedColumnFormula>
    </tableColumn>
    <tableColumn id="24" xr3:uid="{95B30783-BE65-445A-BBB8-598012300B6D}" name="23" totalsRowFunction="sum" totalsRowDxfId="192">
      <calculatedColumnFormula>IF(Посещаемость!Z117="+",700,0)</calculatedColumnFormula>
    </tableColumn>
    <tableColumn id="25" xr3:uid="{688010B5-C6FF-4ACD-A9EF-40892C75DD3E}" name="24" totalsRowFunction="sum" totalsRowDxfId="191">
      <calculatedColumnFormula>IF(Посещаемость!AA117="+",700,0)</calculatedColumnFormula>
    </tableColumn>
    <tableColumn id="26" xr3:uid="{7ACCF0F7-57C8-49FF-936F-FD4CFE49A3A8}" name="25" totalsRowFunction="sum" totalsRowDxfId="190">
      <calculatedColumnFormula>IF(Посещаемость!AB117="+",700,0)</calculatedColumnFormula>
    </tableColumn>
    <tableColumn id="27" xr3:uid="{CA092A5A-E825-433E-9BD6-37F10F3C5BAB}" name="26" totalsRowFunction="sum" totalsRowDxfId="189">
      <calculatedColumnFormula>IF(Посещаемость!AC117="+",700,0)</calculatedColumnFormula>
    </tableColumn>
    <tableColumn id="28" xr3:uid="{50833707-F463-41B9-B00E-D13B977F6967}" name="27" totalsRowFunction="sum" totalsRowDxfId="188">
      <calculatedColumnFormula>IF(Посещаемость!AD117="+",700,0)</calculatedColumnFormula>
    </tableColumn>
    <tableColumn id="29" xr3:uid="{4CD3C33F-649D-4940-9E6D-1BA30F9757BA}" name="28" totalsRowFunction="sum" totalsRowDxfId="187">
      <calculatedColumnFormula>IF(Посещаемость!AE117="+",700,0)</calculatedColumnFormula>
    </tableColumn>
    <tableColumn id="30" xr3:uid="{023CBB7B-DD37-45F2-9279-944A641AC735}" name="29" totalsRowFunction="sum" totalsRowDxfId="186">
      <calculatedColumnFormula>IF(Посещаемость!AF117="+",700,0)</calculatedColumnFormula>
    </tableColumn>
    <tableColumn id="31" xr3:uid="{357F082B-291E-46EB-9EC6-81E09A0FCE32}" name="30" totalsRowFunction="sum" totalsRowDxfId="185">
      <calculatedColumnFormula>IF(Посещаемость!AG117="+",700,0)</calculatedColumnFormula>
    </tableColumn>
    <tableColumn id="32" xr3:uid="{9BB6884E-90E0-4951-A3F5-E33D02F717F6}" name="31" totalsRowFunction="sum" totalsRowDxfId="184">
      <calculatedColumnFormula>IF(Посещаемость!AH117="+",700,0)</calculatedColumnFormula>
    </tableColumn>
    <tableColumn id="33" xr3:uid="{9F8EE3DA-EAB4-44F0-AD65-955C643EEE42}" name="Всего" totalsRowFunction="sum" dataDxfId="183" totalsRowDxfId="182">
      <calculatedColumnFormula>SUM(Зарплата_администратора[[#This Row],[01]:[31]])</calculatedColumn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FDEDFBA-CEFF-4317-B2D3-B634CB2B266E}" name="Оплата_зарплаты" displayName="Оплата_зарплаты" ref="A48:F53" totalsRowShown="0">
  <autoFilter ref="A48:F53" xr:uid="{00000000-0009-0000-0100-000015000000}"/>
  <tableColumns count="6">
    <tableColumn id="1" xr3:uid="{4FC082E2-A6A0-4767-8BC1-73D4BEF8ADDA}" name="ФИО"/>
    <tableColumn id="7" xr3:uid="{D44B009B-6952-45DF-A912-6B879639295C}" name="Должность"/>
    <tableColumn id="2" xr3:uid="{DEBA530D-1072-4D0E-909D-8DBD45FF8672}" name="Нал" dataDxfId="181"/>
    <tableColumn id="3" xr3:uid="{7716C0BA-F901-439A-B6AC-2611824F439A}" name="Дата" dataDxfId="180"/>
    <tableColumn id="4" xr3:uid="{ED6392AB-C9D7-4599-979A-44F18052E7EA}" name="Безнал" dataDxfId="179"/>
    <tableColumn id="5" xr3:uid="{3AB40B26-E856-45DB-8DB6-19EF3C7B7B61}" name="Дата2" dataDxfId="178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ACE4E34-EE5E-4541-91B5-126ABEBA4614}" name="Зарплата_Павленко" displayName="Зарплата_Павленко" ref="A28:AG31" totalsRowCount="1" headerRowDxfId="177" headerRowCellStyle="Обычный 2" dataCellStyle="Обычный 2">
  <autoFilter ref="A28:AG30" xr:uid="{59489B85-F8E9-44FF-98C8-19C4D82047A3}"/>
  <tableColumns count="33">
    <tableColumn id="1" xr3:uid="{E95EAA82-A8F3-48FE-A1F2-719553D93A40}" name="Павленко А.А." totalsRowLabel="Итог" totalsRowDxfId="176" dataCellStyle="Обычный 2">
      <calculatedColumnFormula>A10</calculatedColumnFormula>
    </tableColumn>
    <tableColumn id="2" xr3:uid="{AB02E380-3348-459C-9110-65ED283E5F93}" name="01" totalsRowFunction="sum" totalsRowDxfId="175" dataCellStyle="Обычный 2">
      <calculatedColumnFormula>IF(GETPIVOTDATA(LEFT(B21,2),$A$3,"Группа","3 - 4","Хореограф","Павленко А.А.")&gt;8,GETPIVOTDATA(LEFT(B21,2),$A$3,"Группа","3 - 4","Хореограф","Павленко А.А.")*100,IF(GETPIVOTDATA(LEFT(B21,2),$A$3,"Группа","3 - 4","Хореограф","Павленко А.А.")&gt;0,800,0))</calculatedColumnFormula>
    </tableColumn>
    <tableColumn id="3" xr3:uid="{1CBE6872-E1D6-4D71-96EC-783F76B51757}" name="02" totalsRowFunction="sum" totalsRowDxfId="174" dataCellStyle="Обычный 2">
      <calculatedColumnFormula>IF(GETPIVOTDATA(LEFT(C21,2),$A$3,"Группа","3 - 4","Хореограф","Павленко А.А.")&gt;8,GETPIVOTDATA(LEFT(C21,2),$A$3,"Группа","3 - 4","Хореограф","Павленко А.А.")*100,IF(GETPIVOTDATA(LEFT(C21,2),$A$3,"Группа","3 - 4","Хореограф","Павленко А.А.")&gt;0,800,0))</calculatedColumnFormula>
    </tableColumn>
    <tableColumn id="4" xr3:uid="{7F0D6076-DF57-4707-B243-A7EB552CEDC9}" name="03" totalsRowFunction="sum" totalsRowDxfId="173" dataCellStyle="Обычный 2">
      <calculatedColumnFormula>IF(GETPIVOTDATA(LEFT(D21,2),$A$3,"Группа","3 - 4","Хореограф","Павленко А.А.")&gt;8,GETPIVOTDATA(LEFT(D21,2),$A$3,"Группа","3 - 4","Хореограф","Павленко А.А.")*100,IF(GETPIVOTDATA(LEFT(D21,2),$A$3,"Группа","3 - 4","Хореограф","Павленко А.А.")&gt;0,800,0))</calculatedColumnFormula>
    </tableColumn>
    <tableColumn id="5" xr3:uid="{4C73EFFD-D10F-4B40-A394-AA575A94302D}" name="04" totalsRowFunction="sum" totalsRowDxfId="172" dataCellStyle="Обычный 2">
      <calculatedColumnFormula>IF(GETPIVOTDATA(LEFT(E21,2),$A$3,"Группа","3 - 4","Хореограф","Павленко А.А.")&gt;8,GETPIVOTDATA(LEFT(E21,2),$A$3,"Группа","3 - 4","Хореограф","Павленко А.А.")*100,IF(GETPIVOTDATA(LEFT(E21,2),$A$3,"Группа","3 - 4","Хореограф","Павленко А.А.")&gt;0,800,0))</calculatedColumnFormula>
    </tableColumn>
    <tableColumn id="6" xr3:uid="{78EE5603-319B-462F-9C64-17658E213DB8}" name="05" totalsRowFunction="sum" totalsRowDxfId="171" dataCellStyle="Обычный 2">
      <calculatedColumnFormula>IF(GETPIVOTDATA(LEFT(F21,2),$A$3,"Группа","3 - 4","Хореограф","Павленко А.А.")&gt;8,GETPIVOTDATA(LEFT(F21,2),$A$3,"Группа","3 - 4","Хореограф","Павленко А.А.")*100,IF(GETPIVOTDATA(LEFT(F21,2),$A$3,"Группа","3 - 4","Хореограф","Павленко А.А.")&gt;0,800,0))</calculatedColumnFormula>
    </tableColumn>
    <tableColumn id="7" xr3:uid="{AC61E972-4B79-4135-A8CF-8EE6AB7B521C}" name="06" totalsRowFunction="sum" totalsRowDxfId="170" dataCellStyle="Обычный 2">
      <calculatedColumnFormula>IF(GETPIVOTDATA(LEFT(G21,2),$A$3,"Группа","3 - 4","Хореограф","Павленко А.А.")&gt;8,GETPIVOTDATA(LEFT(G21,2),$A$3,"Группа","3 - 4","Хореограф","Павленко А.А.")*100,IF(GETPIVOTDATA(LEFT(G21,2),$A$3,"Группа","3 - 4","Хореограф","Павленко А.А.")&gt;0,800,0))</calculatedColumnFormula>
    </tableColumn>
    <tableColumn id="8" xr3:uid="{089604B2-D622-4905-BF08-218F245DA63F}" name="07" totalsRowFunction="sum" totalsRowDxfId="169" dataCellStyle="Обычный 2">
      <calculatedColumnFormula>IF(GETPIVOTDATA(LEFT(H21,2),$A$3,"Группа","3 - 4","Хореограф","Павленко А.А.")&gt;8,GETPIVOTDATA(LEFT(H21,2),$A$3,"Группа","3 - 4","Хореограф","Павленко А.А.")*100,IF(GETPIVOTDATA(LEFT(H21,2),$A$3,"Группа","3 - 4","Хореограф","Павленко А.А.")&gt;0,800,0))</calculatedColumnFormula>
    </tableColumn>
    <tableColumn id="9" xr3:uid="{518408DD-7C71-4796-A94B-A9419A2DAEC8}" name="08" totalsRowFunction="sum" totalsRowDxfId="168" dataCellStyle="Обычный 2">
      <calculatedColumnFormula>IF(GETPIVOTDATA(LEFT(I21,2),$A$3,"Группа","3 - 4","Хореограф","Павленко А.А.")&gt;8,GETPIVOTDATA(LEFT(I21,2),$A$3,"Группа","3 - 4","Хореограф","Павленко А.А.")*100,IF(GETPIVOTDATA(LEFT(I21,2),$A$3,"Группа","3 - 4","Хореограф","Павленко А.А.")&gt;0,800,0))</calculatedColumnFormula>
    </tableColumn>
    <tableColumn id="10" xr3:uid="{A7B85CF3-C201-48B8-98B6-A382A19B8EAD}" name="09" totalsRowFunction="sum" totalsRowDxfId="167" dataCellStyle="Обычный 2">
      <calculatedColumnFormula>IF(GETPIVOTDATA(LEFT(J21,2),$A$3,"Группа","3 - 4","Хореограф","Павленко А.А.")&gt;8,GETPIVOTDATA(LEFT(J21,2),$A$3,"Группа","3 - 4","Хореограф","Павленко А.А.")*100,IF(GETPIVOTDATA(LEFT(J21,2),$A$3,"Группа","3 - 4","Хореограф","Павленко А.А.")&gt;0,800,0))</calculatedColumnFormula>
    </tableColumn>
    <tableColumn id="11" xr3:uid="{DDBAC132-98A0-4514-82D8-9868FBC46098}" name="10" totalsRowFunction="sum" totalsRowDxfId="166" dataCellStyle="Обычный 2">
      <calculatedColumnFormula>IF(GETPIVOTDATA(LEFT(K21,2),$A$3,"Группа","3 - 4","Хореограф","Павленко А.А.")&gt;8,GETPIVOTDATA(LEFT(K21,2),$A$3,"Группа","3 - 4","Хореограф","Павленко А.А.")*100,IF(GETPIVOTDATA(LEFT(K21,2),$A$3,"Группа","3 - 4","Хореограф","Павленко А.А.")&gt;0,800,0))</calculatedColumnFormula>
    </tableColumn>
    <tableColumn id="12" xr3:uid="{4F3D7393-C5B3-4EB0-B688-A2269B982A0D}" name="11" totalsRowFunction="sum" totalsRowDxfId="165" dataCellStyle="Обычный 2">
      <calculatedColumnFormula>IF(GETPIVOTDATA(LEFT(L21,2),$A$3,"Группа","3 - 4","Хореограф","Павленко А.А.")&gt;8,GETPIVOTDATA(LEFT(L21,2),$A$3,"Группа","3 - 4","Хореограф","Павленко А.А.")*100,IF(GETPIVOTDATA(LEFT(L21,2),$A$3,"Группа","3 - 4","Хореограф","Павленко А.А.")&gt;0,800,0))</calculatedColumnFormula>
    </tableColumn>
    <tableColumn id="13" xr3:uid="{A9C41DAD-2C00-49B4-9D4D-C2994988EC84}" name="12" totalsRowFunction="sum" totalsRowDxfId="164" dataCellStyle="Обычный 2">
      <calculatedColumnFormula>IF(GETPIVOTDATA(LEFT(M21,2),$A$3,"Группа","3 - 4","Хореограф","Павленко А.А.")&gt;8,GETPIVOTDATA(LEFT(M21,2),$A$3,"Группа","3 - 4","Хореограф","Павленко А.А.")*100,IF(GETPIVOTDATA(LEFT(M21,2),$A$3,"Группа","3 - 4","Хореограф","Павленко А.А.")&gt;0,800,0))</calculatedColumnFormula>
    </tableColumn>
    <tableColumn id="14" xr3:uid="{10976FA6-846B-4887-9CA7-D320D79B83F1}" name="13" totalsRowFunction="sum" totalsRowDxfId="163" dataCellStyle="Обычный 2">
      <calculatedColumnFormula>IF(GETPIVOTDATA(LEFT(N21,2),$A$3,"Группа","3 - 4","Хореограф","Павленко А.А.")&gt;8,GETPIVOTDATA(LEFT(N21,2),$A$3,"Группа","3 - 4","Хореограф","Павленко А.А.")*100,IF(GETPIVOTDATA(LEFT(N21,2),$A$3,"Группа","3 - 4","Хореограф","Павленко А.А.")&gt;0,800,0))</calculatedColumnFormula>
    </tableColumn>
    <tableColumn id="15" xr3:uid="{0F8AA417-7CE0-4A4B-9DC7-A25E9A10D1E7}" name="14" totalsRowFunction="sum" totalsRowDxfId="162" dataCellStyle="Обычный 2">
      <calculatedColumnFormula>IF(GETPIVOTDATA(LEFT(O21,2),$A$3,"Группа","3 - 4","Хореограф","Павленко А.А.")&gt;8,GETPIVOTDATA(LEFT(O21,2),$A$3,"Группа","3 - 4","Хореограф","Павленко А.А.")*100,IF(GETPIVOTDATA(LEFT(O21,2),$A$3,"Группа","3 - 4","Хореограф","Павленко А.А.")&gt;0,800,0))</calculatedColumnFormula>
    </tableColumn>
    <tableColumn id="16" xr3:uid="{3E2689C2-A0D4-4450-B28A-8E7236592220}" name="15" totalsRowFunction="sum" totalsRowDxfId="161" dataCellStyle="Обычный 2">
      <calculatedColumnFormula>IF(GETPIVOTDATA(LEFT(P21,2),$A$3,"Группа","3 - 4","Хореограф","Павленко А.А.")&gt;8,GETPIVOTDATA(LEFT(P21,2),$A$3,"Группа","3 - 4","Хореограф","Павленко А.А.")*100,IF(GETPIVOTDATA(LEFT(P21,2),$A$3,"Группа","3 - 4","Хореограф","Павленко А.А.")&gt;0,800,0))</calculatedColumnFormula>
    </tableColumn>
    <tableColumn id="17" xr3:uid="{0BE087AD-6EF7-45D0-97E7-188D8A1931AB}" name="16" totalsRowFunction="sum" totalsRowDxfId="160" dataCellStyle="Обычный 2">
      <calculatedColumnFormula>IF(GETPIVOTDATA(LEFT(Q21,2),$A$3,"Группа","3 - 4","Хореограф","Павленко А.А.")&gt;8,GETPIVOTDATA(LEFT(Q21,2),$A$3,"Группа","3 - 4","Хореограф","Павленко А.А.")*100,IF(GETPIVOTDATA(LEFT(Q21,2),$A$3,"Группа","3 - 4","Хореограф","Павленко А.А.")&gt;0,800,0))</calculatedColumnFormula>
    </tableColumn>
    <tableColumn id="18" xr3:uid="{C94324A4-B9FC-4FEF-A495-443E862FF569}" name="17" totalsRowFunction="sum" totalsRowDxfId="159" dataCellStyle="Обычный 2">
      <calculatedColumnFormula>IF(GETPIVOTDATA(LEFT(R21,2),$A$3,"Группа","3 - 4","Хореограф","Павленко А.А.")&gt;8,GETPIVOTDATA(LEFT(R21,2),$A$3,"Группа","3 - 4","Хореограф","Павленко А.А.")*100,IF(GETPIVOTDATA(LEFT(R21,2),$A$3,"Группа","3 - 4","Хореограф","Павленко А.А.")&gt;0,800,0))</calculatedColumnFormula>
    </tableColumn>
    <tableColumn id="19" xr3:uid="{8B635F3E-623D-448E-9427-5EBCD7E60154}" name="18" totalsRowFunction="sum" totalsRowDxfId="158" dataCellStyle="Обычный 2">
      <calculatedColumnFormula>IF(GETPIVOTDATA(LEFT(S21,2),$A$3,"Группа","3 - 4","Хореограф","Павленко А.А.")&gt;8,GETPIVOTDATA(LEFT(S21,2),$A$3,"Группа","3 - 4","Хореограф","Павленко А.А.")*100,IF(GETPIVOTDATA(LEFT(S21,2),$A$3,"Группа","3 - 4","Хореограф","Павленко А.А.")&gt;0,800,0))</calculatedColumnFormula>
    </tableColumn>
    <tableColumn id="20" xr3:uid="{483BB8C2-2B5C-4E0C-9C37-696B6BD3543D}" name="19" totalsRowFunction="sum" totalsRowDxfId="157" dataCellStyle="Обычный 2">
      <calculatedColumnFormula>IF(GETPIVOTDATA(LEFT(T21,2),$A$3,"Группа","3 - 4","Хореограф","Павленко А.А.")&gt;8,GETPIVOTDATA(LEFT(T21,2),$A$3,"Группа","3 - 4","Хореограф","Павленко А.А.")*100,IF(GETPIVOTDATA(LEFT(T21,2),$A$3,"Группа","3 - 4","Хореограф","Павленко А.А.")&gt;0,800,0))</calculatedColumnFormula>
    </tableColumn>
    <tableColumn id="21" xr3:uid="{3775EFE8-3307-4FD2-8C43-79A4ECF1A4BA}" name="20" totalsRowFunction="sum" totalsRowDxfId="156" dataCellStyle="Обычный 2">
      <calculatedColumnFormula>IF(GETPIVOTDATA(LEFT(U21,2),$A$3,"Группа","3 - 4","Хореограф","Павленко А.А.")&gt;8,GETPIVOTDATA(LEFT(U21,2),$A$3,"Группа","3 - 4","Хореограф","Павленко А.А.")*100,IF(GETPIVOTDATA(LEFT(U21,2),$A$3,"Группа","3 - 4","Хореограф","Павленко А.А.")&gt;0,800,0))</calculatedColumnFormula>
    </tableColumn>
    <tableColumn id="22" xr3:uid="{2C95C197-2B84-420C-8BCA-DC6CD867B209}" name="21" totalsRowFunction="sum" totalsRowDxfId="155" dataCellStyle="Обычный 2">
      <calculatedColumnFormula>IF(GETPIVOTDATA(LEFT(V21,2),$A$3,"Группа","3 - 4","Хореограф","Павленко А.А.")&gt;8,GETPIVOTDATA(LEFT(V21,2),$A$3,"Группа","3 - 4","Хореограф","Павленко А.А.")*100,IF(GETPIVOTDATA(LEFT(V21,2),$A$3,"Группа","3 - 4","Хореограф","Павленко А.А.")&gt;0,800,0))</calculatedColumnFormula>
    </tableColumn>
    <tableColumn id="23" xr3:uid="{7538DDAE-9D6E-4DE1-B2E5-DBB9373351EE}" name="22" totalsRowFunction="sum" totalsRowDxfId="154" dataCellStyle="Обычный 2">
      <calculatedColumnFormula>IF(GETPIVOTDATA(LEFT(W21,2),$A$3,"Группа","3 - 4","Хореограф","Павленко А.А.")&gt;8,GETPIVOTDATA(LEFT(W21,2),$A$3,"Группа","3 - 4","Хореограф","Павленко А.А.")*100,IF(GETPIVOTDATA(LEFT(W21,2),$A$3,"Группа","3 - 4","Хореограф","Павленко А.А.")&gt;0,800,0))</calculatedColumnFormula>
    </tableColumn>
    <tableColumn id="24" xr3:uid="{DD847EA9-487B-4BE6-AA36-B1700EBCE01A}" name="23" totalsRowFunction="sum" totalsRowDxfId="153" dataCellStyle="Обычный 2">
      <calculatedColumnFormula>IF(GETPIVOTDATA(LEFT(X21,2),$A$3,"Группа","3 - 4","Хореограф","Павленко А.А.")&gt;8,GETPIVOTDATA(LEFT(X21,2),$A$3,"Группа","3 - 4","Хореограф","Павленко А.А.")*100,IF(GETPIVOTDATA(LEFT(X21,2),$A$3,"Группа","3 - 4","Хореограф","Павленко А.А.")&gt;0,800,0))</calculatedColumnFormula>
    </tableColumn>
    <tableColumn id="25" xr3:uid="{5E2985F9-1835-40B4-8E22-868C550AD1C7}" name="24" totalsRowFunction="sum" totalsRowDxfId="152" dataCellStyle="Обычный 2">
      <calculatedColumnFormula>IF(GETPIVOTDATA(LEFT(Y21,2),$A$3,"Группа","3 - 4","Хореограф","Павленко А.А.")&gt;8,GETPIVOTDATA(LEFT(Y21,2),$A$3,"Группа","3 - 4","Хореограф","Павленко А.А.")*100,IF(GETPIVOTDATA(LEFT(Y21,2),$A$3,"Группа","3 - 4","Хореограф","Павленко А.А.")&gt;0,800,0))</calculatedColumnFormula>
    </tableColumn>
    <tableColumn id="26" xr3:uid="{87AF8606-77E3-47DA-8E07-90931C1497FE}" name="25" totalsRowFunction="sum" totalsRowDxfId="151" dataCellStyle="Обычный 2">
      <calculatedColumnFormula>IF(GETPIVOTDATA(LEFT(Z21,2),$A$3,"Группа","3 - 4","Хореограф","Павленко А.А.")&gt;8,GETPIVOTDATA(LEFT(Z21,2),$A$3,"Группа","3 - 4","Хореограф","Павленко А.А.")*100,IF(GETPIVOTDATA(LEFT(Z21,2),$A$3,"Группа","3 - 4","Хореограф","Павленко А.А.")&gt;0,800,0))</calculatedColumnFormula>
    </tableColumn>
    <tableColumn id="27" xr3:uid="{7AC8051F-CE4E-4EB6-93B8-400417C21101}" name="26" totalsRowFunction="sum" totalsRowDxfId="150" dataCellStyle="Обычный 2">
      <calculatedColumnFormula>IF(GETPIVOTDATA(LEFT(AA21,2),$A$3,"Группа","3 - 4","Хореограф","Павленко А.А.")&gt;8,GETPIVOTDATA(LEFT(AA21,2),$A$3,"Группа","3 - 4","Хореограф","Павленко А.А.")*100,IF(GETPIVOTDATA(LEFT(AA21,2),$A$3,"Группа","3 - 4","Хореограф","Павленко А.А.")&gt;0,800,0))</calculatedColumnFormula>
    </tableColumn>
    <tableColumn id="28" xr3:uid="{CE9C673B-68B1-4FD5-8C27-70A4718E8053}" name="27" totalsRowFunction="sum" totalsRowDxfId="149" dataCellStyle="Обычный 2">
      <calculatedColumnFormula>IF(GETPIVOTDATA(LEFT(AB21,2),$A$3,"Группа","3 - 4","Хореограф","Павленко А.А.")&gt;8,GETPIVOTDATA(LEFT(AB21,2),$A$3,"Группа","3 - 4","Хореограф","Павленко А.А.")*100,IF(GETPIVOTDATA(LEFT(AB21,2),$A$3,"Группа","3 - 4","Хореограф","Павленко А.А.")&gt;0,800,0))</calculatedColumnFormula>
    </tableColumn>
    <tableColumn id="29" xr3:uid="{A3B24DE8-877B-4C49-87C7-A76059A9485D}" name="28" totalsRowFunction="sum" totalsRowDxfId="148" dataCellStyle="Обычный 2">
      <calculatedColumnFormula>IF(GETPIVOTDATA(LEFT(AC21,2),$A$3,"Группа","3 - 4","Хореограф","Павленко А.А.")&gt;8,GETPIVOTDATA(LEFT(AC21,2),$A$3,"Группа","3 - 4","Хореограф","Павленко А.А.")*100,IF(GETPIVOTDATA(LEFT(AC21,2),$A$3,"Группа","3 - 4","Хореограф","Павленко А.А.")&gt;0,800,0))</calculatedColumnFormula>
    </tableColumn>
    <tableColumn id="30" xr3:uid="{87047571-1E75-455B-A3C3-AD1D958E5CCE}" name="29" totalsRowFunction="sum" totalsRowDxfId="147" dataCellStyle="Обычный 2">
      <calculatedColumnFormula>IF(GETPIVOTDATA(LEFT(AD21,2),$A$3,"Группа","3 - 4","Хореограф","Павленко А.А.")&gt;8,GETPIVOTDATA(LEFT(AD21,2),$A$3,"Группа","3 - 4","Хореограф","Павленко А.А.")*100,IF(GETPIVOTDATA(LEFT(AD21,2),$A$3,"Группа","3 - 4","Хореограф","Павленко А.А.")&gt;0,800,0))</calculatedColumnFormula>
    </tableColumn>
    <tableColumn id="31" xr3:uid="{B65CA94E-CA9D-4E1A-B4A9-EE7336425494}" name="30" totalsRowFunction="sum" totalsRowDxfId="146" dataCellStyle="Обычный 2">
      <calculatedColumnFormula>IF(GETPIVOTDATA(LEFT(AE21,2),$A$3,"Группа","3 - 4","Хореограф","Павленко А.А.")&gt;8,GETPIVOTDATA(LEFT(AE21,2),$A$3,"Группа","3 - 4","Хореограф","Павленко А.А.")*100,IF(GETPIVOTDATA(LEFT(AE21,2),$A$3,"Группа","3 - 4","Хореограф","Павленко А.А.")&gt;0,800,0))</calculatedColumnFormula>
    </tableColumn>
    <tableColumn id="32" xr3:uid="{BAC46D1D-B6D5-4D22-888D-C5FCDB7706BB}" name="31" totalsRowFunction="sum" totalsRowDxfId="145" dataCellStyle="Обычный 2">
      <calculatedColumnFormula>IF(GETPIVOTDATA(LEFT(AF21,2),$A$3,"Группа","3 - 4","Хореограф","Павленко А.А.")&gt;8,GETPIVOTDATA(LEFT(AF21,2),$A$3,"Группа","3 - 4","Хореограф","Павленко А.А.")*100,IF(GETPIVOTDATA(LEFT(AF21,2),$A$3,"Группа","3 - 4","Хореограф","Павленко А.А.")&gt;0,800,0))</calculatedColumnFormula>
    </tableColumn>
    <tableColumn id="33" xr3:uid="{C21A6D3B-BCE3-4E3D-BE7C-C0393DC28D16}" name="Всего" totalsRowFunction="sum" dataDxfId="144" totalsRowDxfId="143" dataCellStyle="Обычный 2" totalsRowCellStyle="Акцент5">
      <calculatedColumnFormula>SUM(Зарплата_Павленко[[#This Row],[01]:[31]])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8E33167-AD31-43EE-B94D-E34D5C1E8C90}" name="Зарплата_Яковлева" displayName="Зарплата_Яковлева" ref="A32:AG41" totalsRowCount="1" headerRowDxfId="142" headerRowCellStyle="Обычный 2" dataCellStyle="Обычный 2">
  <autoFilter ref="A32:AG40" xr:uid="{BFF458DB-579B-4166-AA2C-D4BFD82D740D}"/>
  <tableColumns count="33">
    <tableColumn id="1" xr3:uid="{9363338B-24E9-4C46-971E-1DDAB0612CEA}" name="Яковлева В.Г." totalsRowLabel="Итог" totalsRowDxfId="141" dataCellStyle="Обычный 2">
      <calculatedColumnFormula>A13</calculatedColumnFormula>
    </tableColumn>
    <tableColumn id="2" xr3:uid="{CC36A7CC-EA2F-41D0-813E-0A1B98E1697C}" name="01" totalsRowFunction="sum" totalsRowDxfId="140" dataCellStyle="Обычный 2"/>
    <tableColumn id="3" xr3:uid="{145F4F18-BC91-46F4-AC94-C1DDA0F4E1F1}" name="02" totalsRowFunction="sum" totalsRowDxfId="139" dataCellStyle="Обычный 2"/>
    <tableColumn id="4" xr3:uid="{D27F4D6B-4B77-40CC-A7C3-05A9741E8228}" name="03" totalsRowFunction="sum" totalsRowDxfId="138" dataCellStyle="Обычный 2"/>
    <tableColumn id="5" xr3:uid="{09551DEA-B6EE-4EE4-90EB-E165B27D9B3F}" name="04" totalsRowFunction="sum" totalsRowDxfId="137" dataCellStyle="Обычный 2"/>
    <tableColumn id="6" xr3:uid="{E6C6F0F6-389D-47A4-B5B3-5338B7861B3D}" name="05" totalsRowFunction="sum" totalsRowDxfId="136" dataCellStyle="Обычный 2"/>
    <tableColumn id="7" xr3:uid="{AA72B799-9E8F-4C45-9B7B-CEBAFAFDD268}" name="06" totalsRowFunction="sum" totalsRowDxfId="135" dataCellStyle="Обычный 2"/>
    <tableColumn id="8" xr3:uid="{3E8CCC39-81CF-46AB-AFAC-AFBE53BFBD35}" name="07" totalsRowFunction="sum" totalsRowDxfId="134" dataCellStyle="Обычный 2"/>
    <tableColumn id="9" xr3:uid="{E4088D40-0263-4165-9EEB-E99E0380BD00}" name="08" totalsRowFunction="sum" totalsRowDxfId="133" dataCellStyle="Обычный 2"/>
    <tableColumn id="10" xr3:uid="{AE753C59-5EA4-40D3-8E65-22F41B4F94D8}" name="09" totalsRowFunction="sum" totalsRowDxfId="132" dataCellStyle="Обычный 2"/>
    <tableColumn id="11" xr3:uid="{9B5CEFAA-24B5-440D-A805-A9DE85C344AC}" name="10" totalsRowFunction="sum" totalsRowDxfId="131" dataCellStyle="Обычный 2"/>
    <tableColumn id="12" xr3:uid="{4B491761-96EA-4C7F-87F1-EFE519AB6FAD}" name="11" totalsRowFunction="sum" totalsRowDxfId="130" dataCellStyle="Обычный 2"/>
    <tableColumn id="13" xr3:uid="{916C4FE0-E03C-471C-8E80-7312B685C31F}" name="12" totalsRowFunction="sum" totalsRowDxfId="129" dataCellStyle="Обычный 2"/>
    <tableColumn id="14" xr3:uid="{4E62F880-BDE6-4D82-A129-205DF7CBF6ED}" name="13" totalsRowFunction="sum" totalsRowDxfId="128" dataCellStyle="Обычный 2"/>
    <tableColumn id="15" xr3:uid="{02BD5227-10DE-4BFD-B337-FBA2AF4108AE}" name="14" totalsRowFunction="sum" totalsRowDxfId="127" dataCellStyle="Обычный 2"/>
    <tableColumn id="16" xr3:uid="{8904A48E-F414-463E-BAD3-288E467D03AF}" name="15" totalsRowFunction="sum" totalsRowDxfId="126" dataCellStyle="Обычный 2"/>
    <tableColumn id="17" xr3:uid="{A27E9A07-1D54-46A4-9948-55AE1CD57B84}" name="16" totalsRowFunction="sum" totalsRowDxfId="125" dataCellStyle="Обычный 2"/>
    <tableColumn id="18" xr3:uid="{F59CFB33-C498-43A1-9BBB-1126DFB27772}" name="17" totalsRowFunction="sum" totalsRowDxfId="124" dataCellStyle="Обычный 2"/>
    <tableColumn id="19" xr3:uid="{3A44EEB2-11CA-4D03-A84D-D6E12ECCE558}" name="18" totalsRowFunction="sum" totalsRowDxfId="123" dataCellStyle="Обычный 2"/>
    <tableColumn id="20" xr3:uid="{55EE8077-7CAE-4A64-A0E9-ED619BC60512}" name="19" totalsRowFunction="sum" totalsRowDxfId="122" dataCellStyle="Обычный 2"/>
    <tableColumn id="21" xr3:uid="{668EEEAC-DE3E-45D5-B779-05882128D70E}" name="20" totalsRowFunction="sum" totalsRowDxfId="121" dataCellStyle="Обычный 2"/>
    <tableColumn id="22" xr3:uid="{2FCCCAAB-BE75-4418-9EB7-D4FD7C3F8119}" name="21" totalsRowFunction="sum" totalsRowDxfId="120" dataCellStyle="Обычный 2"/>
    <tableColumn id="23" xr3:uid="{98F6566B-D2FB-43A2-AEA9-B08931826EB8}" name="22" totalsRowFunction="sum" totalsRowDxfId="119" dataCellStyle="Обычный 2"/>
    <tableColumn id="24" xr3:uid="{AE61215E-8A1C-4E18-BF76-2600DF808A95}" name="23" totalsRowFunction="sum" totalsRowDxfId="118" dataCellStyle="Обычный 2"/>
    <tableColumn id="25" xr3:uid="{8856F016-C0CF-49D6-A488-1AA1C3E43F18}" name="24" totalsRowFunction="sum" totalsRowDxfId="117" dataCellStyle="Обычный 2"/>
    <tableColumn id="26" xr3:uid="{7ABED0CC-E596-4419-B9CC-B24414B20A86}" name="25" totalsRowFunction="sum" totalsRowDxfId="116" dataCellStyle="Обычный 2"/>
    <tableColumn id="27" xr3:uid="{04BC5581-EA21-43FA-8C50-C8268142AD70}" name="26" totalsRowFunction="sum" totalsRowDxfId="115" dataCellStyle="Обычный 2"/>
    <tableColumn id="28" xr3:uid="{7A8D3458-8A97-475B-B0A2-715DC3A03A8E}" name="27" totalsRowFunction="sum" totalsRowDxfId="114" dataCellStyle="Обычный 2"/>
    <tableColumn id="29" xr3:uid="{A2912E99-A904-48C8-8561-8D27F0BB527F}" name="28" totalsRowFunction="sum" totalsRowDxfId="113" dataCellStyle="Обычный 2"/>
    <tableColumn id="30" xr3:uid="{BC8657F9-F29E-42A5-B7B7-E65ACBAA1F06}" name="29" totalsRowFunction="sum" totalsRowDxfId="112" dataCellStyle="Обычный 2"/>
    <tableColumn id="31" xr3:uid="{C672A1FB-4128-47DC-B25D-76FBF35DFE11}" name="30" totalsRowFunction="sum" totalsRowDxfId="111" dataCellStyle="Обычный 2"/>
    <tableColumn id="32" xr3:uid="{31A14658-BD8C-4CE9-9339-5FEB54CCAA85}" name="31" totalsRowFunction="sum" totalsRowDxfId="110" dataCellStyle="Обычный 2"/>
    <tableColumn id="33" xr3:uid="{DB8355A4-8EAD-4B81-8614-AAFA49881C20}" name="Всего" totalsRowFunction="sum" dataDxfId="109" totalsRowDxfId="108" dataCellStyle="Обычный 2">
      <calculatedColumnFormula>SUM(Зарплата_Яковлева[[#This Row],[01]:[31]])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M113"/>
  <sheetViews>
    <sheetView topLeftCell="A89" zoomScaleNormal="100" workbookViewId="0">
      <selection activeCell="B2" sqref="B2:B111"/>
    </sheetView>
  </sheetViews>
  <sheetFormatPr defaultColWidth="9.21875" defaultRowHeight="14.4" x14ac:dyDescent="0.3"/>
  <cols>
    <col min="1" max="1" width="5.44140625" style="23" customWidth="1"/>
    <col min="2" max="2" width="23.44140625" style="26" customWidth="1"/>
    <col min="3" max="3" width="11.77734375" style="26" customWidth="1"/>
    <col min="4" max="4" width="15.5546875" style="26" customWidth="1"/>
    <col min="5" max="5" width="10.44140625" style="27" customWidth="1"/>
    <col min="6" max="6" width="11.5546875" style="27" customWidth="1"/>
    <col min="7" max="7" width="10.21875" style="28" customWidth="1"/>
    <col min="8" max="8" width="12.21875" style="27" customWidth="1"/>
    <col min="9" max="9" width="10.77734375" style="28" customWidth="1"/>
    <col min="10" max="10" width="10.44140625" style="27" customWidth="1"/>
    <col min="11" max="11" width="11.44140625" style="27" customWidth="1"/>
    <col min="12" max="12" width="14" style="27" customWidth="1"/>
    <col min="13" max="14" width="17.21875" style="23" bestFit="1" customWidth="1"/>
    <col min="15" max="15" width="9.21875" style="23"/>
    <col min="16" max="16" width="17.21875" style="23" bestFit="1" customWidth="1"/>
    <col min="17" max="17" width="11.77734375" style="23" bestFit="1" customWidth="1"/>
    <col min="18" max="18" width="15.5546875" style="23" customWidth="1"/>
    <col min="19" max="16384" width="9.21875" style="23"/>
  </cols>
  <sheetData>
    <row r="1" spans="1:13" ht="28.8" x14ac:dyDescent="0.3">
      <c r="A1" s="17" t="s">
        <v>1</v>
      </c>
      <c r="B1" s="18" t="s">
        <v>2</v>
      </c>
      <c r="C1" s="18" t="s">
        <v>11</v>
      </c>
      <c r="D1" s="18" t="s">
        <v>9</v>
      </c>
      <c r="E1" s="19" t="s">
        <v>13</v>
      </c>
      <c r="F1" s="20" t="s">
        <v>5</v>
      </c>
      <c r="G1" s="21" t="s">
        <v>3</v>
      </c>
      <c r="H1" s="20" t="s">
        <v>4</v>
      </c>
      <c r="I1" s="21" t="s">
        <v>8</v>
      </c>
      <c r="J1" s="20" t="s">
        <v>7</v>
      </c>
      <c r="K1" s="20" t="s">
        <v>12</v>
      </c>
      <c r="L1" s="20" t="s">
        <v>19</v>
      </c>
      <c r="M1" s="22" t="s">
        <v>6</v>
      </c>
    </row>
    <row r="2" spans="1:13" x14ac:dyDescent="0.3">
      <c r="A2" s="24">
        <f t="shared" ref="A2:A33" si="0">+ROW()-1</f>
        <v>1</v>
      </c>
      <c r="B2" s="25" t="s">
        <v>162</v>
      </c>
      <c r="C2" s="26" t="s">
        <v>60</v>
      </c>
      <c r="D2" s="26" t="s">
        <v>56</v>
      </c>
      <c r="E2" s="27">
        <v>3600</v>
      </c>
      <c r="J2" s="27">
        <f>Доходы[[#This Row],[Безналичная]]+Доходы[[#This Row],[Наличная]]</f>
        <v>0</v>
      </c>
      <c r="K2" s="27">
        <f>Доходы[[#This Row],[Абонимент]]-Доходы[[#This Row],[Баланс]]</f>
        <v>3600</v>
      </c>
      <c r="L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" s="29"/>
    </row>
    <row r="3" spans="1:13" x14ac:dyDescent="0.3">
      <c r="A3" s="24">
        <f t="shared" si="0"/>
        <v>2</v>
      </c>
      <c r="B3" s="33" t="s">
        <v>163</v>
      </c>
      <c r="C3" s="26" t="s">
        <v>66</v>
      </c>
      <c r="D3" s="26" t="s">
        <v>56</v>
      </c>
      <c r="E3" s="27">
        <v>3600</v>
      </c>
      <c r="J3" s="27">
        <f>Доходы[[#This Row],[Безналичная]]+Доходы[[#This Row],[Наличная]]</f>
        <v>0</v>
      </c>
      <c r="K3" s="27">
        <f>Доходы[[#This Row],[Абонимент]]-Доходы[[#This Row],[Баланс]]</f>
        <v>3600</v>
      </c>
      <c r="L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" s="29"/>
    </row>
    <row r="4" spans="1:13" x14ac:dyDescent="0.3">
      <c r="A4" s="24">
        <f t="shared" si="0"/>
        <v>3</v>
      </c>
      <c r="B4" s="25" t="s">
        <v>164</v>
      </c>
      <c r="C4" s="26" t="s">
        <v>58</v>
      </c>
      <c r="D4" s="26" t="s">
        <v>10</v>
      </c>
      <c r="E4" s="27">
        <v>3600</v>
      </c>
      <c r="J4" s="27">
        <f>Доходы[[#This Row],[Безналичная]]+Доходы[[#This Row],[Наличная]]</f>
        <v>0</v>
      </c>
      <c r="K4" s="27">
        <f>Доходы[[#This Row],[Абонимент]]-Доходы[[#This Row],[Баланс]]</f>
        <v>3600</v>
      </c>
      <c r="L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" s="29"/>
    </row>
    <row r="5" spans="1:13" x14ac:dyDescent="0.3">
      <c r="A5" s="24">
        <f t="shared" si="0"/>
        <v>4</v>
      </c>
      <c r="B5" s="25" t="s">
        <v>165</v>
      </c>
      <c r="C5" s="26" t="s">
        <v>61</v>
      </c>
      <c r="D5" s="26" t="s">
        <v>10</v>
      </c>
      <c r="E5" s="27">
        <v>3600</v>
      </c>
      <c r="J5" s="27">
        <f>Доходы[[#This Row],[Безналичная]]+Доходы[[#This Row],[Наличная]]</f>
        <v>0</v>
      </c>
      <c r="K5" s="27">
        <f>Доходы[[#This Row],[Абонимент]]-Доходы[[#This Row],[Баланс]]</f>
        <v>3600</v>
      </c>
      <c r="L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" s="29"/>
    </row>
    <row r="6" spans="1:13" x14ac:dyDescent="0.3">
      <c r="A6" s="24">
        <f t="shared" si="0"/>
        <v>5</v>
      </c>
      <c r="B6" s="32" t="s">
        <v>166</v>
      </c>
      <c r="C6" s="26" t="s">
        <v>66</v>
      </c>
      <c r="D6" s="26" t="s">
        <v>56</v>
      </c>
      <c r="E6" s="27">
        <v>3600</v>
      </c>
      <c r="J6" s="27">
        <f>Доходы[[#This Row],[Безналичная]]+Доходы[[#This Row],[Наличная]]</f>
        <v>0</v>
      </c>
      <c r="K6" s="27">
        <f>Доходы[[#This Row],[Абонимент]]-Доходы[[#This Row],[Баланс]]</f>
        <v>3600</v>
      </c>
      <c r="L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" s="29"/>
    </row>
    <row r="7" spans="1:13" x14ac:dyDescent="0.3">
      <c r="A7" s="24">
        <f t="shared" si="0"/>
        <v>6</v>
      </c>
      <c r="B7" s="25" t="s">
        <v>167</v>
      </c>
      <c r="C7" s="26" t="s">
        <v>58</v>
      </c>
      <c r="D7" s="26" t="s">
        <v>10</v>
      </c>
      <c r="E7" s="27">
        <v>3600</v>
      </c>
      <c r="J7" s="27">
        <f>Доходы[[#This Row],[Безналичная]]+Доходы[[#This Row],[Наличная]]</f>
        <v>0</v>
      </c>
      <c r="K7" s="27">
        <f>Доходы[[#This Row],[Абонимент]]-Доходы[[#This Row],[Баланс]]</f>
        <v>3600</v>
      </c>
      <c r="L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" s="29"/>
    </row>
    <row r="8" spans="1:13" x14ac:dyDescent="0.3">
      <c r="A8" s="24">
        <f t="shared" si="0"/>
        <v>7</v>
      </c>
      <c r="B8" s="32" t="s">
        <v>168</v>
      </c>
      <c r="C8" s="26" t="s">
        <v>64</v>
      </c>
      <c r="D8" s="26" t="s">
        <v>56</v>
      </c>
      <c r="E8" s="27">
        <v>1800</v>
      </c>
      <c r="J8" s="27">
        <f>Доходы[[#This Row],[Безналичная]]+Доходы[[#This Row],[Наличная]]</f>
        <v>0</v>
      </c>
      <c r="K8" s="27">
        <f>Доходы[[#This Row],[Абонимент]]-Доходы[[#This Row],[Баланс]]</f>
        <v>1800</v>
      </c>
      <c r="L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" s="29"/>
    </row>
    <row r="9" spans="1:13" x14ac:dyDescent="0.3">
      <c r="A9" s="24">
        <f t="shared" si="0"/>
        <v>8</v>
      </c>
      <c r="B9" s="30" t="s">
        <v>169</v>
      </c>
      <c r="C9" s="26" t="s">
        <v>61</v>
      </c>
      <c r="D9" s="26" t="s">
        <v>10</v>
      </c>
      <c r="E9" s="27">
        <v>3600</v>
      </c>
      <c r="J9" s="27">
        <f>Доходы[[#This Row],[Безналичная]]+Доходы[[#This Row],[Наличная]]</f>
        <v>0</v>
      </c>
      <c r="K9" s="27">
        <f>Доходы[[#This Row],[Абонимент]]-Доходы[[#This Row],[Баланс]]</f>
        <v>3600</v>
      </c>
      <c r="L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" s="29"/>
    </row>
    <row r="10" spans="1:13" x14ac:dyDescent="0.3">
      <c r="A10" s="24">
        <f t="shared" si="0"/>
        <v>9</v>
      </c>
      <c r="B10" s="32" t="s">
        <v>170</v>
      </c>
      <c r="C10" s="26" t="s">
        <v>68</v>
      </c>
      <c r="D10" s="26" t="s">
        <v>72</v>
      </c>
      <c r="J10" s="27">
        <f>Доходы[[#This Row],[Безналичная]]+Доходы[[#This Row],[Наличная]]</f>
        <v>0</v>
      </c>
      <c r="K10" s="27">
        <f>Доходы[[#This Row],[Абонимент]]-Доходы[[#This Row],[Баланс]]</f>
        <v>-1000</v>
      </c>
      <c r="L1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1000</v>
      </c>
      <c r="M10" s="29"/>
    </row>
    <row r="11" spans="1:13" x14ac:dyDescent="0.3">
      <c r="A11" s="24">
        <f t="shared" si="0"/>
        <v>10</v>
      </c>
      <c r="B11" s="25" t="s">
        <v>171</v>
      </c>
      <c r="C11" s="26" t="s">
        <v>65</v>
      </c>
      <c r="D11" s="26" t="s">
        <v>56</v>
      </c>
      <c r="E11" s="27">
        <v>3600</v>
      </c>
      <c r="J11" s="27">
        <f>Доходы[[#This Row],[Безналичная]]+Доходы[[#This Row],[Наличная]]</f>
        <v>0</v>
      </c>
      <c r="K11" s="27">
        <f>Доходы[[#This Row],[Абонимент]]-Доходы[[#This Row],[Баланс]]</f>
        <v>3600</v>
      </c>
      <c r="L1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1" s="29"/>
    </row>
    <row r="12" spans="1:13" x14ac:dyDescent="0.3">
      <c r="A12" s="24">
        <f t="shared" si="0"/>
        <v>11</v>
      </c>
      <c r="B12" s="25" t="s">
        <v>172</v>
      </c>
      <c r="C12" s="26" t="s">
        <v>58</v>
      </c>
      <c r="D12" s="26" t="s">
        <v>10</v>
      </c>
      <c r="E12" s="27">
        <v>3600</v>
      </c>
      <c r="J12" s="27">
        <f>Доходы[[#This Row],[Безналичная]]+Доходы[[#This Row],[Наличная]]</f>
        <v>0</v>
      </c>
      <c r="K12" s="27">
        <f>Доходы[[#This Row],[Абонимент]]-Доходы[[#This Row],[Баланс]]</f>
        <v>3600</v>
      </c>
      <c r="L1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2" s="29"/>
    </row>
    <row r="13" spans="1:13" x14ac:dyDescent="0.3">
      <c r="A13" s="24">
        <f t="shared" si="0"/>
        <v>12</v>
      </c>
      <c r="B13" s="25" t="s">
        <v>173</v>
      </c>
      <c r="C13" s="26" t="s">
        <v>71</v>
      </c>
      <c r="D13" s="26" t="s">
        <v>56</v>
      </c>
      <c r="E13" s="27">
        <v>3600</v>
      </c>
      <c r="J13" s="27">
        <f>Доходы[[#This Row],[Безналичная]]+Доходы[[#This Row],[Наличная]]</f>
        <v>0</v>
      </c>
      <c r="K13" s="27">
        <f>Доходы[[#This Row],[Абонимент]]-Доходы[[#This Row],[Баланс]]</f>
        <v>3600</v>
      </c>
      <c r="L1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3" s="29"/>
    </row>
    <row r="14" spans="1:13" x14ac:dyDescent="0.3">
      <c r="A14" s="24">
        <f t="shared" si="0"/>
        <v>13</v>
      </c>
      <c r="B14" s="32" t="s">
        <v>174</v>
      </c>
      <c r="C14" s="26" t="s">
        <v>57</v>
      </c>
      <c r="D14" s="26" t="s">
        <v>72</v>
      </c>
      <c r="E14" s="27">
        <v>3600</v>
      </c>
      <c r="J14" s="27">
        <f>Доходы[[#This Row],[Безналичная]]+Доходы[[#This Row],[Наличная]]</f>
        <v>0</v>
      </c>
      <c r="K14" s="27">
        <f>Доходы[[#This Row],[Абонимент]]-Доходы[[#This Row],[Баланс]]</f>
        <v>3600</v>
      </c>
      <c r="L1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4" s="29"/>
    </row>
    <row r="15" spans="1:13" x14ac:dyDescent="0.3">
      <c r="A15" s="24">
        <f t="shared" si="0"/>
        <v>14</v>
      </c>
      <c r="B15" s="32" t="s">
        <v>175</v>
      </c>
      <c r="C15" s="26" t="s">
        <v>60</v>
      </c>
      <c r="D15" s="26" t="s">
        <v>56</v>
      </c>
      <c r="E15" s="27">
        <v>3600</v>
      </c>
      <c r="J15" s="27">
        <f>Доходы[[#This Row],[Безналичная]]+Доходы[[#This Row],[Наличная]]</f>
        <v>0</v>
      </c>
      <c r="K15" s="27">
        <f>Доходы[[#This Row],[Абонимент]]-Доходы[[#This Row],[Баланс]]</f>
        <v>3600</v>
      </c>
      <c r="L1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5" s="29"/>
    </row>
    <row r="16" spans="1:13" x14ac:dyDescent="0.3">
      <c r="A16" s="24">
        <f t="shared" si="0"/>
        <v>15</v>
      </c>
      <c r="B16" s="32" t="s">
        <v>176</v>
      </c>
      <c r="C16" s="26" t="s">
        <v>68</v>
      </c>
      <c r="D16" s="26" t="s">
        <v>72</v>
      </c>
      <c r="E16" s="27">
        <v>3600</v>
      </c>
      <c r="J16" s="27">
        <f>Доходы[[#This Row],[Безналичная]]+Доходы[[#This Row],[Наличная]]</f>
        <v>0</v>
      </c>
      <c r="K16" s="27">
        <f>Доходы[[#This Row],[Абонимент]]-Доходы[[#This Row],[Баланс]]</f>
        <v>3600</v>
      </c>
      <c r="L1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6" s="29"/>
    </row>
    <row r="17" spans="1:13" x14ac:dyDescent="0.3">
      <c r="A17" s="24">
        <f t="shared" si="0"/>
        <v>16</v>
      </c>
      <c r="B17" s="32" t="s">
        <v>177</v>
      </c>
      <c r="C17" s="26" t="s">
        <v>68</v>
      </c>
      <c r="D17" s="26" t="s">
        <v>72</v>
      </c>
      <c r="E17" s="27">
        <v>3600</v>
      </c>
      <c r="J17" s="27">
        <f>Доходы[[#This Row],[Безналичная]]+Доходы[[#This Row],[Наличная]]</f>
        <v>0</v>
      </c>
      <c r="K17" s="27">
        <f>Доходы[[#This Row],[Абонимент]]-Доходы[[#This Row],[Баланс]]</f>
        <v>3600</v>
      </c>
      <c r="L1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7" s="29"/>
    </row>
    <row r="18" spans="1:13" x14ac:dyDescent="0.3">
      <c r="A18" s="24">
        <f t="shared" si="0"/>
        <v>17</v>
      </c>
      <c r="B18" s="25" t="s">
        <v>178</v>
      </c>
      <c r="C18" s="26" t="s">
        <v>61</v>
      </c>
      <c r="D18" s="26" t="s">
        <v>10</v>
      </c>
      <c r="E18" s="27">
        <v>2800</v>
      </c>
      <c r="J18" s="27">
        <f>Доходы[[#This Row],[Безналичная]]+Доходы[[#This Row],[Наличная]]</f>
        <v>0</v>
      </c>
      <c r="K18" s="27">
        <f>Доходы[[#This Row],[Абонимент]]-Доходы[[#This Row],[Баланс]]</f>
        <v>2800</v>
      </c>
      <c r="L1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8" s="29"/>
    </row>
    <row r="19" spans="1:13" x14ac:dyDescent="0.3">
      <c r="A19" s="24">
        <f t="shared" si="0"/>
        <v>18</v>
      </c>
      <c r="B19" s="32" t="s">
        <v>179</v>
      </c>
      <c r="C19" s="26" t="s">
        <v>64</v>
      </c>
      <c r="D19" s="26" t="s">
        <v>56</v>
      </c>
      <c r="E19" s="27">
        <v>3600</v>
      </c>
      <c r="J19" s="27">
        <f>Доходы[[#This Row],[Безналичная]]+Доходы[[#This Row],[Наличная]]</f>
        <v>0</v>
      </c>
      <c r="K19" s="27">
        <f>Доходы[[#This Row],[Абонимент]]-Доходы[[#This Row],[Баланс]]</f>
        <v>3600</v>
      </c>
      <c r="L1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9" s="29"/>
    </row>
    <row r="20" spans="1:13" x14ac:dyDescent="0.3">
      <c r="A20" s="24">
        <f t="shared" si="0"/>
        <v>19</v>
      </c>
      <c r="B20" s="32" t="s">
        <v>180</v>
      </c>
      <c r="C20" s="26" t="s">
        <v>64</v>
      </c>
      <c r="D20" s="26" t="s">
        <v>56</v>
      </c>
      <c r="E20" s="27">
        <v>3600</v>
      </c>
      <c r="J20" s="27">
        <f>Доходы[[#This Row],[Безналичная]]+Доходы[[#This Row],[Наличная]]</f>
        <v>0</v>
      </c>
      <c r="K20" s="27">
        <f>Доходы[[#This Row],[Абонимент]]-Доходы[[#This Row],[Баланс]]</f>
        <v>3600</v>
      </c>
      <c r="L2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0" s="29"/>
    </row>
    <row r="21" spans="1:13" x14ac:dyDescent="0.3">
      <c r="A21" s="24">
        <f t="shared" si="0"/>
        <v>20</v>
      </c>
      <c r="B21" s="32" t="s">
        <v>181</v>
      </c>
      <c r="C21" s="26" t="s">
        <v>63</v>
      </c>
      <c r="D21" s="26" t="s">
        <v>56</v>
      </c>
      <c r="E21" s="27">
        <v>3600</v>
      </c>
      <c r="J21" s="27">
        <f>Доходы[[#This Row],[Безналичная]]+Доходы[[#This Row],[Наличная]]</f>
        <v>0</v>
      </c>
      <c r="K21" s="27">
        <f>Доходы[[#This Row],[Абонимент]]-Доходы[[#This Row],[Баланс]]</f>
        <v>3600</v>
      </c>
      <c r="L2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1" s="29"/>
    </row>
    <row r="22" spans="1:13" x14ac:dyDescent="0.3">
      <c r="A22" s="24">
        <f t="shared" si="0"/>
        <v>21</v>
      </c>
      <c r="B22" s="25" t="s">
        <v>182</v>
      </c>
      <c r="C22" s="26" t="s">
        <v>61</v>
      </c>
      <c r="D22" s="26" t="s">
        <v>10</v>
      </c>
      <c r="E22" s="27">
        <v>0</v>
      </c>
      <c r="J22" s="27">
        <f>Доходы[[#This Row],[Безналичная]]+Доходы[[#This Row],[Наличная]]</f>
        <v>0</v>
      </c>
      <c r="K22" s="27">
        <f>Доходы[[#This Row],[Абонимент]]-Доходы[[#This Row],[Баланс]]</f>
        <v>0</v>
      </c>
      <c r="L2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2" s="29"/>
    </row>
    <row r="23" spans="1:13" x14ac:dyDescent="0.3">
      <c r="A23" s="24">
        <f t="shared" si="0"/>
        <v>22</v>
      </c>
      <c r="B23" s="32" t="s">
        <v>183</v>
      </c>
      <c r="C23" s="26" t="s">
        <v>66</v>
      </c>
      <c r="D23" s="26" t="s">
        <v>56</v>
      </c>
      <c r="E23" s="27">
        <v>3600</v>
      </c>
      <c r="J23" s="27">
        <f>Доходы[[#This Row],[Безналичная]]+Доходы[[#This Row],[Наличная]]</f>
        <v>0</v>
      </c>
      <c r="K23" s="27">
        <f>Доходы[[#This Row],[Абонимент]]-Доходы[[#This Row],[Баланс]]</f>
        <v>3600</v>
      </c>
      <c r="L2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3" s="29"/>
    </row>
    <row r="24" spans="1:13" x14ac:dyDescent="0.3">
      <c r="A24" s="24">
        <f t="shared" si="0"/>
        <v>23</v>
      </c>
      <c r="B24" s="25" t="s">
        <v>184</v>
      </c>
      <c r="C24" s="26" t="s">
        <v>61</v>
      </c>
      <c r="D24" s="26" t="s">
        <v>10</v>
      </c>
      <c r="E24" s="27">
        <v>3600</v>
      </c>
      <c r="J24" s="27">
        <f>Доходы[[#This Row],[Безналичная]]+Доходы[[#This Row],[Наличная]]</f>
        <v>0</v>
      </c>
      <c r="K24" s="27">
        <f>Доходы[[#This Row],[Абонимент]]-Доходы[[#This Row],[Баланс]]</f>
        <v>3600</v>
      </c>
      <c r="L2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4" s="29"/>
    </row>
    <row r="25" spans="1:13" x14ac:dyDescent="0.3">
      <c r="A25" s="24">
        <f t="shared" si="0"/>
        <v>24</v>
      </c>
      <c r="B25" s="32" t="s">
        <v>185</v>
      </c>
      <c r="C25" s="26" t="s">
        <v>66</v>
      </c>
      <c r="D25" s="26" t="s">
        <v>56</v>
      </c>
      <c r="E25" s="27">
        <v>3600</v>
      </c>
      <c r="J25" s="27">
        <f>Доходы[[#This Row],[Безналичная]]+Доходы[[#This Row],[Наличная]]</f>
        <v>0</v>
      </c>
      <c r="K25" s="27">
        <f>Доходы[[#This Row],[Абонимент]]-Доходы[[#This Row],[Баланс]]</f>
        <v>3600</v>
      </c>
      <c r="L2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5" s="29"/>
    </row>
    <row r="26" spans="1:13" x14ac:dyDescent="0.3">
      <c r="A26" s="24">
        <f t="shared" si="0"/>
        <v>25</v>
      </c>
      <c r="B26" s="32" t="s">
        <v>186</v>
      </c>
      <c r="C26" s="26" t="s">
        <v>60</v>
      </c>
      <c r="D26" s="26" t="s">
        <v>56</v>
      </c>
      <c r="E26" s="27">
        <v>3600</v>
      </c>
      <c r="J26" s="27">
        <f>Доходы[[#This Row],[Безналичная]]+Доходы[[#This Row],[Наличная]]</f>
        <v>0</v>
      </c>
      <c r="K26" s="27">
        <f>Доходы[[#This Row],[Абонимент]]-Доходы[[#This Row],[Баланс]]</f>
        <v>3600</v>
      </c>
      <c r="L2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6" s="29"/>
    </row>
    <row r="27" spans="1:13" x14ac:dyDescent="0.3">
      <c r="A27" s="24">
        <f t="shared" si="0"/>
        <v>26</v>
      </c>
      <c r="B27" s="32" t="s">
        <v>187</v>
      </c>
      <c r="C27" s="26" t="s">
        <v>60</v>
      </c>
      <c r="D27" s="26" t="s">
        <v>56</v>
      </c>
      <c r="E27" s="27">
        <v>3600</v>
      </c>
      <c r="J27" s="27">
        <f>Доходы[[#This Row],[Безналичная]]+Доходы[[#This Row],[Наличная]]</f>
        <v>0</v>
      </c>
      <c r="K27" s="27">
        <f>Доходы[[#This Row],[Абонимент]]-Доходы[[#This Row],[Баланс]]</f>
        <v>3600</v>
      </c>
      <c r="L2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7" s="29"/>
    </row>
    <row r="28" spans="1:13" x14ac:dyDescent="0.3">
      <c r="A28" s="24">
        <f t="shared" si="0"/>
        <v>27</v>
      </c>
      <c r="B28" s="32" t="s">
        <v>188</v>
      </c>
      <c r="C28" s="26" t="s">
        <v>68</v>
      </c>
      <c r="D28" s="26" t="s">
        <v>72</v>
      </c>
      <c r="E28" s="27">
        <v>3600</v>
      </c>
      <c r="J28" s="27">
        <f>Доходы[[#This Row],[Безналичная]]+Доходы[[#This Row],[Наличная]]</f>
        <v>0</v>
      </c>
      <c r="K28" s="27">
        <f>Доходы[[#This Row],[Абонимент]]-Доходы[[#This Row],[Баланс]]</f>
        <v>3600</v>
      </c>
      <c r="L2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8" s="29"/>
    </row>
    <row r="29" spans="1:13" x14ac:dyDescent="0.3">
      <c r="A29" s="24">
        <f t="shared" si="0"/>
        <v>28</v>
      </c>
      <c r="B29" s="32" t="s">
        <v>189</v>
      </c>
      <c r="C29" s="26" t="s">
        <v>64</v>
      </c>
      <c r="D29" s="26" t="s">
        <v>56</v>
      </c>
      <c r="E29" s="27">
        <v>3600</v>
      </c>
      <c r="J29" s="27">
        <f>Доходы[[#This Row],[Безналичная]]+Доходы[[#This Row],[Наличная]]</f>
        <v>0</v>
      </c>
      <c r="K29" s="27">
        <f>Доходы[[#This Row],[Абонимент]]-Доходы[[#This Row],[Баланс]]</f>
        <v>3600</v>
      </c>
      <c r="L2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29" s="29"/>
    </row>
    <row r="30" spans="1:13" x14ac:dyDescent="0.3">
      <c r="A30" s="24">
        <f t="shared" si="0"/>
        <v>29</v>
      </c>
      <c r="B30" s="25" t="s">
        <v>190</v>
      </c>
      <c r="C30" s="26" t="s">
        <v>67</v>
      </c>
      <c r="D30" s="26" t="s">
        <v>10</v>
      </c>
      <c r="E30" s="27">
        <v>1800</v>
      </c>
      <c r="J30" s="27">
        <f>Доходы[[#This Row],[Безналичная]]+Доходы[[#This Row],[Наличная]]</f>
        <v>0</v>
      </c>
      <c r="K30" s="27">
        <f>Доходы[[#This Row],[Абонимент]]-Доходы[[#This Row],[Баланс]]</f>
        <v>1800</v>
      </c>
      <c r="L3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0" s="29"/>
    </row>
    <row r="31" spans="1:13" x14ac:dyDescent="0.3">
      <c r="A31" s="24">
        <f t="shared" si="0"/>
        <v>30</v>
      </c>
      <c r="B31" s="25" t="s">
        <v>191</v>
      </c>
      <c r="C31" s="26" t="s">
        <v>59</v>
      </c>
      <c r="D31" s="26" t="s">
        <v>10</v>
      </c>
      <c r="E31" s="27">
        <v>3600</v>
      </c>
      <c r="J31" s="27">
        <f>Доходы[[#This Row],[Безналичная]]+Доходы[[#This Row],[Наличная]]</f>
        <v>0</v>
      </c>
      <c r="K31" s="27">
        <f>Доходы[[#This Row],[Абонимент]]-Доходы[[#This Row],[Баланс]]</f>
        <v>3500</v>
      </c>
      <c r="L3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100</v>
      </c>
      <c r="M31" s="29"/>
    </row>
    <row r="32" spans="1:13" x14ac:dyDescent="0.3">
      <c r="A32" s="24">
        <f t="shared" si="0"/>
        <v>31</v>
      </c>
      <c r="B32" s="32" t="s">
        <v>192</v>
      </c>
      <c r="C32" s="26" t="s">
        <v>62</v>
      </c>
      <c r="D32" s="26" t="s">
        <v>56</v>
      </c>
      <c r="E32" s="27">
        <v>2800</v>
      </c>
      <c r="J32" s="27">
        <f>Доходы[[#This Row],[Безналичная]]+Доходы[[#This Row],[Наличная]]</f>
        <v>0</v>
      </c>
      <c r="K32" s="27">
        <f>Доходы[[#This Row],[Абонимент]]-Доходы[[#This Row],[Баланс]]</f>
        <v>2800</v>
      </c>
      <c r="L3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2" s="29"/>
    </row>
    <row r="33" spans="1:13" x14ac:dyDescent="0.3">
      <c r="A33" s="24">
        <f t="shared" si="0"/>
        <v>32</v>
      </c>
      <c r="B33" s="51" t="s">
        <v>193</v>
      </c>
      <c r="C33" s="34" t="s">
        <v>57</v>
      </c>
      <c r="D33" s="34" t="s">
        <v>72</v>
      </c>
      <c r="E33" s="27">
        <v>3600</v>
      </c>
      <c r="H33" s="27">
        <v>500</v>
      </c>
      <c r="I33" s="28">
        <v>44252</v>
      </c>
      <c r="J33" s="27">
        <f>Доходы[[#This Row],[Безналичная]]+Доходы[[#This Row],[Наличная]]</f>
        <v>500</v>
      </c>
      <c r="K33" s="27">
        <f>Доходы[[#This Row],[Абонимент]]-Доходы[[#This Row],[Баланс]]</f>
        <v>3600</v>
      </c>
      <c r="L3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3" s="29"/>
    </row>
    <row r="34" spans="1:13" x14ac:dyDescent="0.3">
      <c r="A34" s="24">
        <f t="shared" ref="A34:A65" si="1">+ROW()-1</f>
        <v>33</v>
      </c>
      <c r="B34" s="51" t="s">
        <v>194</v>
      </c>
      <c r="C34" s="34" t="s">
        <v>57</v>
      </c>
      <c r="D34" s="34" t="s">
        <v>72</v>
      </c>
      <c r="H34" s="27">
        <v>500</v>
      </c>
      <c r="I34" s="28">
        <v>44231</v>
      </c>
      <c r="J34" s="27">
        <f>Доходы[[#This Row],[Безналичная]]+Доходы[[#This Row],[Наличная]]</f>
        <v>500</v>
      </c>
      <c r="K34" s="27">
        <f>Доходы[[#This Row],[Абонимент]]-Доходы[[#This Row],[Баланс]]</f>
        <v>0</v>
      </c>
      <c r="L3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4" s="29"/>
    </row>
    <row r="35" spans="1:13" x14ac:dyDescent="0.3">
      <c r="A35" s="24">
        <f t="shared" si="1"/>
        <v>34</v>
      </c>
      <c r="B35" s="32" t="s">
        <v>195</v>
      </c>
      <c r="C35" s="26" t="s">
        <v>60</v>
      </c>
      <c r="D35" s="26" t="s">
        <v>56</v>
      </c>
      <c r="F35" s="27">
        <v>500</v>
      </c>
      <c r="G35" s="28">
        <v>44230</v>
      </c>
      <c r="J35" s="27">
        <f>Доходы[[#This Row],[Безналичная]]+Доходы[[#This Row],[Наличная]]</f>
        <v>500</v>
      </c>
      <c r="K35" s="27">
        <f>Доходы[[#This Row],[Абонимент]]-Доходы[[#This Row],[Баланс]]</f>
        <v>0</v>
      </c>
      <c r="L3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5" s="29"/>
    </row>
    <row r="36" spans="1:13" x14ac:dyDescent="0.3">
      <c r="A36" s="24">
        <f t="shared" si="1"/>
        <v>35</v>
      </c>
      <c r="B36" s="51" t="s">
        <v>196</v>
      </c>
      <c r="C36" s="34" t="s">
        <v>58</v>
      </c>
      <c r="D36" s="34" t="s">
        <v>10</v>
      </c>
      <c r="H36" s="27">
        <v>500</v>
      </c>
      <c r="I36" s="28">
        <v>44235</v>
      </c>
      <c r="J36" s="27">
        <f>Доходы[[#This Row],[Безналичная]]+Доходы[[#This Row],[Наличная]]</f>
        <v>500</v>
      </c>
      <c r="K36" s="27">
        <f>Доходы[[#This Row],[Абонимент]]-Доходы[[#This Row],[Баланс]]</f>
        <v>0</v>
      </c>
      <c r="L3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6" s="29"/>
    </row>
    <row r="37" spans="1:13" x14ac:dyDescent="0.3">
      <c r="A37" s="24">
        <f t="shared" si="1"/>
        <v>36</v>
      </c>
      <c r="B37" s="51" t="s">
        <v>197</v>
      </c>
      <c r="C37" s="34" t="s">
        <v>66</v>
      </c>
      <c r="D37" s="34" t="s">
        <v>56</v>
      </c>
      <c r="H37" s="27">
        <v>500</v>
      </c>
      <c r="I37" s="28">
        <v>44240</v>
      </c>
      <c r="J37" s="27">
        <f>Доходы[[#This Row],[Безналичная]]+Доходы[[#This Row],[Наличная]]</f>
        <v>500</v>
      </c>
      <c r="K37" s="27">
        <f>Доходы[[#This Row],[Абонимент]]-Доходы[[#This Row],[Баланс]]</f>
        <v>0</v>
      </c>
      <c r="L3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7" s="29"/>
    </row>
    <row r="38" spans="1:13" x14ac:dyDescent="0.3">
      <c r="A38" s="24">
        <f t="shared" si="1"/>
        <v>37</v>
      </c>
      <c r="B38" s="38" t="s">
        <v>198</v>
      </c>
      <c r="C38" s="34" t="s">
        <v>57</v>
      </c>
      <c r="D38" s="34" t="s">
        <v>72</v>
      </c>
      <c r="F38" s="27">
        <v>500</v>
      </c>
      <c r="G38" s="28">
        <v>44251</v>
      </c>
      <c r="J38" s="27">
        <f>Доходы[[#This Row],[Безналичная]]+Доходы[[#This Row],[Наличная]]</f>
        <v>500</v>
      </c>
      <c r="K38" s="27">
        <f>Доходы[[#This Row],[Абонимент]]-Доходы[[#This Row],[Баланс]]</f>
        <v>0</v>
      </c>
      <c r="L3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8" s="29"/>
    </row>
    <row r="39" spans="1:13" x14ac:dyDescent="0.3">
      <c r="A39" s="24">
        <f t="shared" si="1"/>
        <v>38</v>
      </c>
      <c r="B39" s="25" t="s">
        <v>199</v>
      </c>
      <c r="C39" s="26" t="s">
        <v>59</v>
      </c>
      <c r="D39" s="26" t="s">
        <v>10</v>
      </c>
      <c r="F39" s="27">
        <v>1000</v>
      </c>
      <c r="G39" s="28">
        <v>44228</v>
      </c>
      <c r="J39" s="27">
        <f>Доходы[[#This Row],[Безналичная]]+Доходы[[#This Row],[Наличная]]</f>
        <v>1000</v>
      </c>
      <c r="K39" s="27">
        <f>Доходы[[#This Row],[Абонимент]]-Доходы[[#This Row],[Баланс]]</f>
        <v>0</v>
      </c>
      <c r="L3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39" s="29" t="s">
        <v>86</v>
      </c>
    </row>
    <row r="40" spans="1:13" x14ac:dyDescent="0.3">
      <c r="A40" s="24">
        <f t="shared" si="1"/>
        <v>39</v>
      </c>
      <c r="B40" s="51" t="s">
        <v>200</v>
      </c>
      <c r="C40" s="34" t="s">
        <v>67</v>
      </c>
      <c r="D40" s="34" t="s">
        <v>10</v>
      </c>
      <c r="H40" s="27">
        <v>1000</v>
      </c>
      <c r="I40" s="28">
        <v>44232</v>
      </c>
      <c r="J40" s="27">
        <f>Доходы[[#This Row],[Безналичная]]+Доходы[[#This Row],[Наличная]]</f>
        <v>1000</v>
      </c>
      <c r="K40" s="27">
        <f>Доходы[[#This Row],[Абонимент]]-Доходы[[#This Row],[Баланс]]</f>
        <v>0</v>
      </c>
      <c r="L4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0" s="31">
        <v>44246</v>
      </c>
    </row>
    <row r="41" spans="1:13" x14ac:dyDescent="0.3">
      <c r="A41" s="24">
        <f t="shared" si="1"/>
        <v>40</v>
      </c>
      <c r="B41" s="51" t="s">
        <v>201</v>
      </c>
      <c r="C41" s="34" t="s">
        <v>65</v>
      </c>
      <c r="D41" s="34" t="s">
        <v>56</v>
      </c>
      <c r="F41" s="27">
        <v>1000</v>
      </c>
      <c r="G41" s="28">
        <v>44237</v>
      </c>
      <c r="J41" s="27">
        <f>Доходы[[#This Row],[Безналичная]]+Доходы[[#This Row],[Наличная]]</f>
        <v>1000</v>
      </c>
      <c r="K41" s="27">
        <f>Доходы[[#This Row],[Абонимент]]-Доходы[[#This Row],[Баланс]]</f>
        <v>0</v>
      </c>
      <c r="L4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1" s="31">
        <v>44244</v>
      </c>
    </row>
    <row r="42" spans="1:13" x14ac:dyDescent="0.3">
      <c r="A42" s="24">
        <f t="shared" si="1"/>
        <v>41</v>
      </c>
      <c r="B42" s="25" t="s">
        <v>202</v>
      </c>
      <c r="C42" s="26" t="s">
        <v>61</v>
      </c>
      <c r="D42" s="26" t="s">
        <v>10</v>
      </c>
      <c r="E42" s="27">
        <v>3600</v>
      </c>
      <c r="H42" s="27">
        <v>1350</v>
      </c>
      <c r="I42" s="28">
        <v>44238</v>
      </c>
      <c r="J42" s="27">
        <f>Доходы[[#This Row],[Безналичная]]+Доходы[[#This Row],[Наличная]]</f>
        <v>1350</v>
      </c>
      <c r="K42" s="27">
        <f>Доходы[[#This Row],[Абонимент]]-Доходы[[#This Row],[Баланс]]</f>
        <v>3600</v>
      </c>
      <c r="L4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2" s="29"/>
    </row>
    <row r="43" spans="1:13" x14ac:dyDescent="0.3">
      <c r="A43" s="24">
        <f t="shared" si="1"/>
        <v>42</v>
      </c>
      <c r="B43" s="32" t="s">
        <v>203</v>
      </c>
      <c r="C43" s="26" t="s">
        <v>64</v>
      </c>
      <c r="D43" s="26" t="s">
        <v>56</v>
      </c>
      <c r="E43" s="27">
        <v>1440</v>
      </c>
      <c r="F43" s="27">
        <v>1400</v>
      </c>
      <c r="G43" s="28">
        <v>44228</v>
      </c>
      <c r="J43" s="27">
        <f>Доходы[[#This Row],[Безналичная]]+Доходы[[#This Row],[Наличная]]</f>
        <v>1400</v>
      </c>
      <c r="K43" s="27">
        <f>Доходы[[#This Row],[Абонимент]]-Доходы[[#This Row],[Баланс]]</f>
        <v>1440</v>
      </c>
      <c r="L4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3" s="29"/>
    </row>
    <row r="44" spans="1:13" x14ac:dyDescent="0.3">
      <c r="A44" s="24">
        <f t="shared" si="1"/>
        <v>43</v>
      </c>
      <c r="B44" s="25" t="s">
        <v>204</v>
      </c>
      <c r="C44" s="26" t="s">
        <v>67</v>
      </c>
      <c r="D44" s="26" t="s">
        <v>10</v>
      </c>
      <c r="F44" s="27">
        <v>1500</v>
      </c>
      <c r="G44" s="28">
        <v>44246</v>
      </c>
      <c r="J44" s="27">
        <f>Доходы[[#This Row],[Безналичная]]+Доходы[[#This Row],[Наличная]]</f>
        <v>1500</v>
      </c>
      <c r="K44" s="27">
        <f>Доходы[[#This Row],[Абонимент]]-Доходы[[#This Row],[Баланс]]</f>
        <v>450</v>
      </c>
      <c r="L4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-450</v>
      </c>
      <c r="M44" s="31" t="s">
        <v>158</v>
      </c>
    </row>
    <row r="45" spans="1:13" x14ac:dyDescent="0.3">
      <c r="A45" s="24">
        <f t="shared" si="1"/>
        <v>44</v>
      </c>
      <c r="B45" s="25" t="s">
        <v>205</v>
      </c>
      <c r="C45" s="26" t="s">
        <v>58</v>
      </c>
      <c r="D45" s="26" t="s">
        <v>10</v>
      </c>
      <c r="E45" s="27">
        <v>1800</v>
      </c>
      <c r="F45" s="27">
        <v>1800</v>
      </c>
      <c r="G45" s="28">
        <v>44230</v>
      </c>
      <c r="J45" s="27">
        <f>Доходы[[#This Row],[Безналичная]]+Доходы[[#This Row],[Наличная]]</f>
        <v>1800</v>
      </c>
      <c r="K45" s="27">
        <f>Доходы[[#This Row],[Абонимент]]-Доходы[[#This Row],[Баланс]]</f>
        <v>1800</v>
      </c>
      <c r="L4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5" s="29"/>
    </row>
    <row r="46" spans="1:13" x14ac:dyDescent="0.3">
      <c r="A46" s="24">
        <f t="shared" si="1"/>
        <v>45</v>
      </c>
      <c r="B46" s="32" t="s">
        <v>206</v>
      </c>
      <c r="C46" s="26" t="s">
        <v>65</v>
      </c>
      <c r="D46" s="26" t="s">
        <v>56</v>
      </c>
      <c r="E46" s="27">
        <v>1800</v>
      </c>
      <c r="H46" s="27">
        <v>1800</v>
      </c>
      <c r="I46" s="28">
        <v>44228</v>
      </c>
      <c r="J46" s="27">
        <f>Доходы[[#This Row],[Безналичная]]+Доходы[[#This Row],[Наличная]]</f>
        <v>1800</v>
      </c>
      <c r="K46" s="27">
        <f>Доходы[[#This Row],[Абонимент]]-Доходы[[#This Row],[Баланс]]</f>
        <v>1800</v>
      </c>
      <c r="L4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6" s="29"/>
    </row>
    <row r="47" spans="1:13" x14ac:dyDescent="0.3">
      <c r="A47" s="24">
        <f t="shared" si="1"/>
        <v>46</v>
      </c>
      <c r="B47" s="51" t="s">
        <v>207</v>
      </c>
      <c r="C47" s="34" t="s">
        <v>63</v>
      </c>
      <c r="D47" s="34" t="s">
        <v>56</v>
      </c>
      <c r="E47" s="27">
        <v>1800</v>
      </c>
      <c r="H47" s="27">
        <v>1800</v>
      </c>
      <c r="I47" s="28">
        <v>44246</v>
      </c>
      <c r="J47" s="27">
        <f>Доходы[[#This Row],[Безналичная]]+Доходы[[#This Row],[Наличная]]</f>
        <v>1800</v>
      </c>
      <c r="K47" s="27">
        <f>Доходы[[#This Row],[Абонимент]]-Доходы[[#This Row],[Баланс]]</f>
        <v>1800</v>
      </c>
      <c r="L4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7" s="29"/>
    </row>
    <row r="48" spans="1:13" x14ac:dyDescent="0.3">
      <c r="A48" s="24">
        <f t="shared" si="1"/>
        <v>47</v>
      </c>
      <c r="B48" s="32" t="s">
        <v>208</v>
      </c>
      <c r="C48" s="26" t="s">
        <v>66</v>
      </c>
      <c r="D48" s="26" t="s">
        <v>56</v>
      </c>
      <c r="H48" s="27">
        <v>2000</v>
      </c>
      <c r="I48" s="28">
        <v>44230</v>
      </c>
      <c r="J48" s="27">
        <f>Доходы[[#This Row],[Безналичная]]+Доходы[[#This Row],[Наличная]]</f>
        <v>2000</v>
      </c>
      <c r="K48" s="27">
        <f>Доходы[[#This Row],[Абонимент]]-Доходы[[#This Row],[Баланс]]</f>
        <v>0</v>
      </c>
      <c r="L4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8" s="29" t="s">
        <v>151</v>
      </c>
    </row>
    <row r="49" spans="1:13" x14ac:dyDescent="0.3">
      <c r="A49" s="24">
        <f t="shared" si="1"/>
        <v>48</v>
      </c>
      <c r="B49" s="32" t="s">
        <v>209</v>
      </c>
      <c r="C49" s="26" t="s">
        <v>68</v>
      </c>
      <c r="D49" s="26" t="s">
        <v>72</v>
      </c>
      <c r="H49" s="27">
        <v>2000</v>
      </c>
      <c r="I49" s="28">
        <v>44232</v>
      </c>
      <c r="J49" s="27">
        <f>Доходы[[#This Row],[Безналичная]]+Доходы[[#This Row],[Наличная]]</f>
        <v>2000</v>
      </c>
      <c r="K49" s="27">
        <f>Доходы[[#This Row],[Абонимент]]-Доходы[[#This Row],[Баланс]]</f>
        <v>0</v>
      </c>
      <c r="L4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49" s="31" t="s">
        <v>150</v>
      </c>
    </row>
    <row r="50" spans="1:13" x14ac:dyDescent="0.3">
      <c r="A50" s="24">
        <f t="shared" si="1"/>
        <v>49</v>
      </c>
      <c r="B50" s="32" t="s">
        <v>210</v>
      </c>
      <c r="C50" s="26" t="s">
        <v>68</v>
      </c>
      <c r="D50" s="26" t="s">
        <v>72</v>
      </c>
      <c r="H50" s="27">
        <v>2000</v>
      </c>
      <c r="I50" s="28">
        <v>44232</v>
      </c>
      <c r="J50" s="27">
        <f>Доходы[[#This Row],[Безналичная]]+Доходы[[#This Row],[Наличная]]</f>
        <v>2000</v>
      </c>
      <c r="K50" s="27">
        <f>Доходы[[#This Row],[Абонимент]]-Доходы[[#This Row],[Баланс]]</f>
        <v>0</v>
      </c>
      <c r="L5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0" s="31" t="s">
        <v>150</v>
      </c>
    </row>
    <row r="51" spans="1:13" x14ac:dyDescent="0.3">
      <c r="A51" s="24">
        <f t="shared" si="1"/>
        <v>50</v>
      </c>
      <c r="B51" s="32" t="s">
        <v>211</v>
      </c>
      <c r="C51" s="26" t="s">
        <v>71</v>
      </c>
      <c r="D51" s="26" t="s">
        <v>56</v>
      </c>
      <c r="E51" s="27">
        <v>2880</v>
      </c>
      <c r="H51" s="27">
        <v>2070</v>
      </c>
      <c r="I51" s="28">
        <v>44234</v>
      </c>
      <c r="J51" s="27">
        <f>Доходы[[#This Row],[Безналичная]]+Доходы[[#This Row],[Наличная]]</f>
        <v>2070</v>
      </c>
      <c r="K51" s="27">
        <f>Доходы[[#This Row],[Абонимент]]-Доходы[[#This Row],[Баланс]]</f>
        <v>2880</v>
      </c>
      <c r="L5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1" s="29"/>
    </row>
    <row r="52" spans="1:13" x14ac:dyDescent="0.3">
      <c r="A52" s="24">
        <f t="shared" si="1"/>
        <v>51</v>
      </c>
      <c r="B52" s="25" t="s">
        <v>212</v>
      </c>
      <c r="C52" s="26" t="s">
        <v>58</v>
      </c>
      <c r="D52" s="26" t="s">
        <v>10</v>
      </c>
      <c r="E52" s="27">
        <v>3600</v>
      </c>
      <c r="F52" s="27">
        <v>2250</v>
      </c>
      <c r="G52" s="28">
        <v>44237</v>
      </c>
      <c r="J52" s="27">
        <f>Доходы[[#This Row],[Безналичная]]+Доходы[[#This Row],[Наличная]]</f>
        <v>2250</v>
      </c>
      <c r="K52" s="27">
        <f>Доходы[[#This Row],[Абонимент]]-Доходы[[#This Row],[Баланс]]</f>
        <v>3600</v>
      </c>
      <c r="L5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2" s="29"/>
    </row>
    <row r="53" spans="1:13" x14ac:dyDescent="0.3">
      <c r="A53" s="24">
        <f t="shared" si="1"/>
        <v>52</v>
      </c>
      <c r="B53" s="51" t="s">
        <v>213</v>
      </c>
      <c r="C53" s="34" t="s">
        <v>57</v>
      </c>
      <c r="D53" s="34" t="s">
        <v>10</v>
      </c>
      <c r="E53" s="27">
        <v>3600</v>
      </c>
      <c r="F53" s="27">
        <v>2250</v>
      </c>
      <c r="G53" s="28">
        <v>44237</v>
      </c>
      <c r="J53" s="27">
        <f>Доходы[[#This Row],[Безналичная]]+Доходы[[#This Row],[Наличная]]</f>
        <v>2250</v>
      </c>
      <c r="K53" s="27">
        <f>Доходы[[#This Row],[Абонимент]]-Доходы[[#This Row],[Баланс]]</f>
        <v>3600</v>
      </c>
      <c r="L5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3" s="29"/>
    </row>
    <row r="54" spans="1:13" x14ac:dyDescent="0.3">
      <c r="A54" s="24">
        <f t="shared" si="1"/>
        <v>53</v>
      </c>
      <c r="B54" s="25" t="s">
        <v>214</v>
      </c>
      <c r="C54" s="26" t="s">
        <v>67</v>
      </c>
      <c r="D54" s="26" t="s">
        <v>10</v>
      </c>
      <c r="E54" s="27">
        <v>1800</v>
      </c>
      <c r="F54" s="27">
        <v>1800</v>
      </c>
      <c r="G54" s="28">
        <v>44239</v>
      </c>
      <c r="H54" s="27">
        <v>450</v>
      </c>
      <c r="I54" s="28">
        <v>44238</v>
      </c>
      <c r="J54" s="27">
        <f>Доходы[[#This Row],[Безналичная]]+Доходы[[#This Row],[Наличная]]</f>
        <v>2250</v>
      </c>
      <c r="K54" s="27">
        <f>Доходы[[#This Row],[Абонимент]]-Доходы[[#This Row],[Баланс]]</f>
        <v>1800</v>
      </c>
      <c r="L5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4" s="29"/>
    </row>
    <row r="55" spans="1:13" x14ac:dyDescent="0.3">
      <c r="A55" s="24">
        <f t="shared" si="1"/>
        <v>54</v>
      </c>
      <c r="B55" s="51" t="s">
        <v>215</v>
      </c>
      <c r="C55" s="34" t="s">
        <v>59</v>
      </c>
      <c r="D55" s="34" t="s">
        <v>10</v>
      </c>
      <c r="E55" s="27">
        <v>3600</v>
      </c>
      <c r="H55" s="27">
        <v>2250</v>
      </c>
      <c r="I55" s="28">
        <v>44237</v>
      </c>
      <c r="J55" s="27">
        <f>Доходы[[#This Row],[Безналичная]]+Доходы[[#This Row],[Наличная]]</f>
        <v>2250</v>
      </c>
      <c r="K55" s="27">
        <f>Доходы[[#This Row],[Абонимент]]-Доходы[[#This Row],[Баланс]]</f>
        <v>-1000</v>
      </c>
      <c r="L5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4600</v>
      </c>
      <c r="M55" s="29"/>
    </row>
    <row r="56" spans="1:13" x14ac:dyDescent="0.3">
      <c r="A56" s="24">
        <f t="shared" si="1"/>
        <v>55</v>
      </c>
      <c r="B56" s="25" t="s">
        <v>216</v>
      </c>
      <c r="C56" s="26" t="s">
        <v>58</v>
      </c>
      <c r="D56" s="26" t="s">
        <v>10</v>
      </c>
      <c r="E56" s="27">
        <v>3600</v>
      </c>
      <c r="H56" s="27">
        <v>2250</v>
      </c>
      <c r="I56" s="28">
        <v>44242</v>
      </c>
      <c r="J56" s="27">
        <f>Доходы[[#This Row],[Безналичная]]+Доходы[[#This Row],[Наличная]]</f>
        <v>2250</v>
      </c>
      <c r="K56" s="27">
        <f>Доходы[[#This Row],[Абонимент]]-Доходы[[#This Row],[Баланс]]</f>
        <v>3600</v>
      </c>
      <c r="L5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6" s="29"/>
    </row>
    <row r="57" spans="1:13" x14ac:dyDescent="0.3">
      <c r="A57" s="24">
        <f t="shared" si="1"/>
        <v>56</v>
      </c>
      <c r="B57" s="32" t="s">
        <v>217</v>
      </c>
      <c r="C57" s="26" t="s">
        <v>62</v>
      </c>
      <c r="D57" s="26" t="s">
        <v>56</v>
      </c>
      <c r="E57" s="27">
        <v>1800</v>
      </c>
      <c r="F57" s="27">
        <f>1800+500</f>
        <v>2300</v>
      </c>
      <c r="G57" s="28">
        <v>44228</v>
      </c>
      <c r="J57" s="27">
        <f>Доходы[[#This Row],[Безналичная]]+Доходы[[#This Row],[Наличная]]</f>
        <v>2300</v>
      </c>
      <c r="K57" s="27">
        <f>Доходы[[#This Row],[Абонимент]]-Доходы[[#This Row],[Баланс]]</f>
        <v>1800</v>
      </c>
      <c r="L5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7" s="29" t="s">
        <v>157</v>
      </c>
    </row>
    <row r="58" spans="1:13" x14ac:dyDescent="0.3">
      <c r="A58" s="24">
        <f t="shared" si="1"/>
        <v>57</v>
      </c>
      <c r="B58" s="25" t="s">
        <v>218</v>
      </c>
      <c r="C58" s="26" t="s">
        <v>63</v>
      </c>
      <c r="D58" s="26" t="s">
        <v>56</v>
      </c>
      <c r="E58" s="27">
        <v>2880</v>
      </c>
      <c r="F58" s="27">
        <v>2430</v>
      </c>
      <c r="G58" s="28">
        <v>44233</v>
      </c>
      <c r="J58" s="27">
        <f>Доходы[[#This Row],[Безналичная]]+Доходы[[#This Row],[Наличная]]</f>
        <v>2430</v>
      </c>
      <c r="K58" s="27">
        <f>Доходы[[#This Row],[Абонимент]]-Доходы[[#This Row],[Баланс]]</f>
        <v>2880</v>
      </c>
      <c r="L5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8" s="29"/>
    </row>
    <row r="59" spans="1:13" x14ac:dyDescent="0.3">
      <c r="A59" s="24">
        <f t="shared" si="1"/>
        <v>58</v>
      </c>
      <c r="B59" s="25" t="s">
        <v>219</v>
      </c>
      <c r="C59" s="26" t="s">
        <v>59</v>
      </c>
      <c r="D59" s="26" t="s">
        <v>10</v>
      </c>
      <c r="E59" s="27">
        <v>3600</v>
      </c>
      <c r="H59" s="27">
        <v>2500</v>
      </c>
      <c r="I59" s="28">
        <v>44251</v>
      </c>
      <c r="J59" s="27">
        <f>Доходы[[#This Row],[Безналичная]]+Доходы[[#This Row],[Наличная]]</f>
        <v>2500</v>
      </c>
      <c r="K59" s="27">
        <f>Доходы[[#This Row],[Абонимент]]-Доходы[[#This Row],[Баланс]]</f>
        <v>3600</v>
      </c>
      <c r="L5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59" s="29"/>
    </row>
    <row r="60" spans="1:13" x14ac:dyDescent="0.3">
      <c r="A60" s="24">
        <f t="shared" si="1"/>
        <v>59</v>
      </c>
      <c r="B60" s="25" t="s">
        <v>220</v>
      </c>
      <c r="C60" s="26" t="s">
        <v>61</v>
      </c>
      <c r="D60" s="26" t="s">
        <v>10</v>
      </c>
      <c r="E60" s="27">
        <v>2800</v>
      </c>
      <c r="H60" s="27">
        <v>2800</v>
      </c>
      <c r="I60" s="28">
        <v>44232</v>
      </c>
      <c r="J60" s="27">
        <f>Доходы[[#This Row],[Безналичная]]+Доходы[[#This Row],[Наличная]]</f>
        <v>2800</v>
      </c>
      <c r="K60" s="27">
        <f>Доходы[[#This Row],[Абонимент]]-Доходы[[#This Row],[Баланс]]</f>
        <v>2800</v>
      </c>
      <c r="L6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0" s="29"/>
    </row>
    <row r="61" spans="1:13" x14ac:dyDescent="0.3">
      <c r="A61" s="24">
        <f t="shared" si="1"/>
        <v>60</v>
      </c>
      <c r="B61" s="25" t="s">
        <v>221</v>
      </c>
      <c r="C61" s="26" t="s">
        <v>61</v>
      </c>
      <c r="D61" s="26" t="s">
        <v>10</v>
      </c>
      <c r="E61" s="27">
        <v>2800</v>
      </c>
      <c r="H61" s="27">
        <v>2800</v>
      </c>
      <c r="I61" s="28">
        <v>44236</v>
      </c>
      <c r="J61" s="27">
        <f>Доходы[[#This Row],[Безналичная]]+Доходы[[#This Row],[Наличная]]</f>
        <v>2800</v>
      </c>
      <c r="K61" s="27">
        <f>Доходы[[#This Row],[Абонимент]]-Доходы[[#This Row],[Баланс]]</f>
        <v>0</v>
      </c>
      <c r="L6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2800</v>
      </c>
      <c r="M61" s="29"/>
    </row>
    <row r="62" spans="1:13" ht="15" customHeight="1" x14ac:dyDescent="0.3">
      <c r="A62" s="24">
        <f t="shared" si="1"/>
        <v>61</v>
      </c>
      <c r="B62" s="25" t="s">
        <v>222</v>
      </c>
      <c r="C62" s="26" t="s">
        <v>59</v>
      </c>
      <c r="D62" s="26" t="s">
        <v>10</v>
      </c>
      <c r="E62" s="27">
        <v>3600</v>
      </c>
      <c r="F62" s="27">
        <v>1000</v>
      </c>
      <c r="G62" s="28">
        <v>44249</v>
      </c>
      <c r="H62" s="27">
        <v>1800</v>
      </c>
      <c r="I62" s="28">
        <v>44228</v>
      </c>
      <c r="J62" s="27">
        <f>Доходы[[#This Row],[Безналичная]]+Доходы[[#This Row],[Наличная]]</f>
        <v>2800</v>
      </c>
      <c r="K62" s="27">
        <f>Доходы[[#This Row],[Абонимент]]-Доходы[[#This Row],[Баланс]]</f>
        <v>3600</v>
      </c>
      <c r="L6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2" s="29" t="s">
        <v>157</v>
      </c>
    </row>
    <row r="63" spans="1:13" x14ac:dyDescent="0.3">
      <c r="A63" s="24">
        <f t="shared" si="1"/>
        <v>62</v>
      </c>
      <c r="B63" s="25" t="s">
        <v>223</v>
      </c>
      <c r="C63" s="26" t="s">
        <v>61</v>
      </c>
      <c r="D63" s="26" t="s">
        <v>10</v>
      </c>
      <c r="E63" s="27">
        <v>2880</v>
      </c>
      <c r="H63" s="27">
        <v>2880</v>
      </c>
      <c r="I63" s="28">
        <v>44236</v>
      </c>
      <c r="J63" s="27">
        <f>Доходы[[#This Row],[Безналичная]]+Доходы[[#This Row],[Наличная]]</f>
        <v>2880</v>
      </c>
      <c r="K63" s="27">
        <f>Доходы[[#This Row],[Абонимент]]-Доходы[[#This Row],[Баланс]]</f>
        <v>2880</v>
      </c>
      <c r="L6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3" s="29"/>
    </row>
    <row r="64" spans="1:13" ht="15" customHeight="1" x14ac:dyDescent="0.3">
      <c r="A64" s="24">
        <f t="shared" si="1"/>
        <v>63</v>
      </c>
      <c r="B64" s="25" t="s">
        <v>224</v>
      </c>
      <c r="C64" s="26" t="s">
        <v>59</v>
      </c>
      <c r="D64" s="26" t="s">
        <v>10</v>
      </c>
      <c r="E64" s="27">
        <v>3600</v>
      </c>
      <c r="F64" s="27">
        <v>3150</v>
      </c>
      <c r="G64" s="28">
        <v>44237</v>
      </c>
      <c r="J64" s="27">
        <f>Доходы[[#This Row],[Безналичная]]+Доходы[[#This Row],[Наличная]]</f>
        <v>3150</v>
      </c>
      <c r="K64" s="27">
        <f>Доходы[[#This Row],[Абонимент]]-Доходы[[#This Row],[Баланс]]</f>
        <v>3600</v>
      </c>
      <c r="L6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4" s="29"/>
    </row>
    <row r="65" spans="1:13" x14ac:dyDescent="0.3">
      <c r="A65" s="24">
        <f t="shared" si="1"/>
        <v>64</v>
      </c>
      <c r="B65" s="51" t="s">
        <v>225</v>
      </c>
      <c r="C65" s="34" t="s">
        <v>57</v>
      </c>
      <c r="D65" s="34" t="s">
        <v>72</v>
      </c>
      <c r="E65" s="27">
        <v>3150</v>
      </c>
      <c r="F65" s="27">
        <v>3150</v>
      </c>
      <c r="G65" s="28">
        <v>44229</v>
      </c>
      <c r="J65" s="27">
        <f>Доходы[[#This Row],[Безналичная]]+Доходы[[#This Row],[Наличная]]</f>
        <v>3150</v>
      </c>
      <c r="K65" s="27">
        <f>Доходы[[#This Row],[Абонимент]]-Доходы[[#This Row],[Баланс]]</f>
        <v>3150</v>
      </c>
      <c r="L6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5" s="29"/>
    </row>
    <row r="66" spans="1:13" x14ac:dyDescent="0.3">
      <c r="A66" s="24">
        <f t="shared" ref="A66:A97" si="2">+ROW()-1</f>
        <v>65</v>
      </c>
      <c r="B66" s="51" t="s">
        <v>226</v>
      </c>
      <c r="C66" s="34" t="s">
        <v>64</v>
      </c>
      <c r="D66" s="34" t="s">
        <v>56</v>
      </c>
      <c r="E66" s="27">
        <v>3150</v>
      </c>
      <c r="F66" s="27">
        <v>3150</v>
      </c>
      <c r="G66" s="28">
        <v>44230</v>
      </c>
      <c r="J66" s="27">
        <f>Доходы[[#This Row],[Безналичная]]+Доходы[[#This Row],[Наличная]]</f>
        <v>3150</v>
      </c>
      <c r="K66" s="27">
        <f>Доходы[[#This Row],[Абонимент]]-Доходы[[#This Row],[Баланс]]</f>
        <v>3150</v>
      </c>
      <c r="L6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6" s="29"/>
    </row>
    <row r="67" spans="1:13" x14ac:dyDescent="0.3">
      <c r="A67" s="24">
        <f t="shared" si="2"/>
        <v>66</v>
      </c>
      <c r="B67" s="32" t="s">
        <v>227</v>
      </c>
      <c r="C67" s="26" t="s">
        <v>63</v>
      </c>
      <c r="D67" s="26" t="s">
        <v>56</v>
      </c>
      <c r="E67" s="27">
        <v>3600</v>
      </c>
      <c r="H67" s="27">
        <v>3150</v>
      </c>
      <c r="I67" s="28">
        <v>44236</v>
      </c>
      <c r="J67" s="27">
        <f>Доходы[[#This Row],[Безналичная]]+Доходы[[#This Row],[Наличная]]</f>
        <v>3150</v>
      </c>
      <c r="K67" s="27">
        <f>Доходы[[#This Row],[Абонимент]]-Доходы[[#This Row],[Баланс]]</f>
        <v>3600</v>
      </c>
      <c r="L6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7" s="29"/>
    </row>
    <row r="68" spans="1:13" x14ac:dyDescent="0.3">
      <c r="A68" s="24">
        <f t="shared" si="2"/>
        <v>67</v>
      </c>
      <c r="B68" s="25" t="s">
        <v>228</v>
      </c>
      <c r="C68" s="26" t="s">
        <v>66</v>
      </c>
      <c r="D68" s="26" t="s">
        <v>56</v>
      </c>
      <c r="F68" s="27">
        <v>1000</v>
      </c>
      <c r="G68" s="28">
        <v>44251</v>
      </c>
      <c r="H68" s="27">
        <v>2500</v>
      </c>
      <c r="I68" s="28">
        <v>44230</v>
      </c>
      <c r="J68" s="27">
        <f>Доходы[[#This Row],[Безналичная]]+Доходы[[#This Row],[Наличная]]</f>
        <v>3500</v>
      </c>
      <c r="K68" s="27">
        <f>Доходы[[#This Row],[Абонимент]]-Доходы[[#This Row],[Баланс]]</f>
        <v>0</v>
      </c>
      <c r="L6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8" s="29" t="s">
        <v>156</v>
      </c>
    </row>
    <row r="69" spans="1:13" ht="28.8" x14ac:dyDescent="0.3">
      <c r="A69" s="24">
        <f t="shared" si="2"/>
        <v>68</v>
      </c>
      <c r="B69" s="25" t="s">
        <v>229</v>
      </c>
      <c r="C69" s="26" t="s">
        <v>65</v>
      </c>
      <c r="D69" s="26" t="s">
        <v>56</v>
      </c>
      <c r="F69" s="27">
        <v>500</v>
      </c>
      <c r="G69" s="28">
        <v>44251</v>
      </c>
      <c r="H69" s="27">
        <v>3000</v>
      </c>
      <c r="I69" s="28">
        <v>44228</v>
      </c>
      <c r="J69" s="27">
        <f>Доходы[[#This Row],[Безналичная]]+Доходы[[#This Row],[Наличная]]</f>
        <v>3500</v>
      </c>
      <c r="K69" s="27">
        <f>Доходы[[#This Row],[Абонимент]]-Доходы[[#This Row],[Баланс]]</f>
        <v>0</v>
      </c>
      <c r="L6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69" s="31" t="s">
        <v>153</v>
      </c>
    </row>
    <row r="70" spans="1:13" x14ac:dyDescent="0.3">
      <c r="A70" s="23">
        <f t="shared" si="2"/>
        <v>69</v>
      </c>
      <c r="B70" s="25" t="s">
        <v>230</v>
      </c>
      <c r="C70" s="26" t="s">
        <v>61</v>
      </c>
      <c r="D70" s="26" t="s">
        <v>10</v>
      </c>
      <c r="E70" s="27">
        <v>3600</v>
      </c>
      <c r="F70" s="27">
        <v>3600</v>
      </c>
      <c r="G70" s="28">
        <v>44233</v>
      </c>
      <c r="J70" s="27">
        <f>Доходы[[#This Row],[Безналичная]]+Доходы[[#This Row],[Наличная]]</f>
        <v>3600</v>
      </c>
      <c r="K70" s="27">
        <f>Доходы[[#This Row],[Абонимент]]-Доходы[[#This Row],[Баланс]]</f>
        <v>3600</v>
      </c>
      <c r="L7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0" s="29"/>
    </row>
    <row r="71" spans="1:13" x14ac:dyDescent="0.3">
      <c r="A71" s="24">
        <f t="shared" si="2"/>
        <v>70</v>
      </c>
      <c r="B71" s="51" t="s">
        <v>231</v>
      </c>
      <c r="C71" s="26" t="s">
        <v>59</v>
      </c>
      <c r="D71" s="26" t="s">
        <v>10</v>
      </c>
      <c r="E71" s="27">
        <v>3600</v>
      </c>
      <c r="H71" s="27">
        <v>3600</v>
      </c>
      <c r="I71" s="28">
        <v>44235</v>
      </c>
      <c r="J71" s="27">
        <f>Доходы[[#This Row],[Безналичная]]+Доходы[[#This Row],[Наличная]]</f>
        <v>3600</v>
      </c>
      <c r="K71" s="27">
        <f>Доходы[[#This Row],[Абонимент]]-Доходы[[#This Row],[Баланс]]</f>
        <v>4300</v>
      </c>
      <c r="L7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-700</v>
      </c>
      <c r="M71" s="29"/>
    </row>
    <row r="72" spans="1:13" x14ac:dyDescent="0.3">
      <c r="A72" s="24">
        <f t="shared" si="2"/>
        <v>71</v>
      </c>
      <c r="B72" s="25" t="s">
        <v>232</v>
      </c>
      <c r="C72" s="26" t="s">
        <v>62</v>
      </c>
      <c r="D72" s="26" t="s">
        <v>56</v>
      </c>
      <c r="E72" s="27">
        <v>3600</v>
      </c>
      <c r="H72" s="27">
        <v>3600</v>
      </c>
      <c r="I72" s="28">
        <v>44235</v>
      </c>
      <c r="J72" s="27">
        <f>Доходы[[#This Row],[Безналичная]]+Доходы[[#This Row],[Наличная]]</f>
        <v>3600</v>
      </c>
      <c r="K72" s="27">
        <f>Доходы[[#This Row],[Абонимент]]-Доходы[[#This Row],[Баланс]]</f>
        <v>3600</v>
      </c>
      <c r="L7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2" s="29"/>
    </row>
    <row r="73" spans="1:13" x14ac:dyDescent="0.3">
      <c r="A73" s="24">
        <f t="shared" si="2"/>
        <v>72</v>
      </c>
      <c r="B73" s="25" t="s">
        <v>233</v>
      </c>
      <c r="C73" s="26" t="s">
        <v>66</v>
      </c>
      <c r="D73" s="26" t="s">
        <v>56</v>
      </c>
      <c r="E73" s="27">
        <v>3600</v>
      </c>
      <c r="H73" s="27">
        <v>3600</v>
      </c>
      <c r="I73" s="28">
        <v>44230</v>
      </c>
      <c r="J73" s="27">
        <f>Доходы[[#This Row],[Безналичная]]+Доходы[[#This Row],[Наличная]]</f>
        <v>3600</v>
      </c>
      <c r="K73" s="27">
        <f>Доходы[[#This Row],[Абонимент]]-Доходы[[#This Row],[Баланс]]</f>
        <v>3600</v>
      </c>
      <c r="L7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3" s="29"/>
    </row>
    <row r="74" spans="1:13" x14ac:dyDescent="0.3">
      <c r="A74" s="24">
        <f t="shared" si="2"/>
        <v>73</v>
      </c>
      <c r="B74" s="25" t="s">
        <v>234</v>
      </c>
      <c r="C74" s="26" t="s">
        <v>65</v>
      </c>
      <c r="D74" s="26" t="s">
        <v>56</v>
      </c>
      <c r="E74" s="27">
        <v>3600</v>
      </c>
      <c r="H74" s="27">
        <v>3600</v>
      </c>
      <c r="I74" s="28">
        <v>44237</v>
      </c>
      <c r="J74" s="27">
        <f>Доходы[[#This Row],[Безналичная]]+Доходы[[#This Row],[Наличная]]</f>
        <v>3600</v>
      </c>
      <c r="K74" s="27">
        <f>Доходы[[#This Row],[Абонимент]]-Доходы[[#This Row],[Баланс]]</f>
        <v>3600</v>
      </c>
      <c r="L7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4" s="29"/>
    </row>
    <row r="75" spans="1:13" x14ac:dyDescent="0.3">
      <c r="A75" s="24">
        <f t="shared" si="2"/>
        <v>74</v>
      </c>
      <c r="B75" s="25" t="s">
        <v>235</v>
      </c>
      <c r="C75" s="26" t="s">
        <v>59</v>
      </c>
      <c r="D75" s="26" t="s">
        <v>10</v>
      </c>
      <c r="E75" s="27">
        <v>3600</v>
      </c>
      <c r="H75" s="27">
        <v>3600</v>
      </c>
      <c r="I75" s="28">
        <v>44228</v>
      </c>
      <c r="J75" s="27">
        <f>Доходы[[#This Row],[Безналичная]]+Доходы[[#This Row],[Наличная]]</f>
        <v>3600</v>
      </c>
      <c r="K75" s="27">
        <f>Доходы[[#This Row],[Абонимент]]-Доходы[[#This Row],[Баланс]]</f>
        <v>3600</v>
      </c>
      <c r="L7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5" s="29"/>
    </row>
    <row r="76" spans="1:13" x14ac:dyDescent="0.3">
      <c r="A76" s="24">
        <f t="shared" si="2"/>
        <v>75</v>
      </c>
      <c r="B76" s="25" t="s">
        <v>236</v>
      </c>
      <c r="C76" s="26" t="s">
        <v>64</v>
      </c>
      <c r="D76" s="26" t="s">
        <v>56</v>
      </c>
      <c r="E76" s="27">
        <v>3600</v>
      </c>
      <c r="F76" s="27">
        <v>3600</v>
      </c>
      <c r="G76" s="28">
        <v>44237</v>
      </c>
      <c r="J76" s="27">
        <f>Доходы[[#This Row],[Безналичная]]+Доходы[[#This Row],[Наличная]]</f>
        <v>3600</v>
      </c>
      <c r="K76" s="27">
        <f>Доходы[[#This Row],[Абонимент]]-Доходы[[#This Row],[Баланс]]</f>
        <v>3600</v>
      </c>
      <c r="L7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6" s="29"/>
    </row>
    <row r="77" spans="1:13" x14ac:dyDescent="0.3">
      <c r="A77" s="24">
        <f t="shared" si="2"/>
        <v>76</v>
      </c>
      <c r="B77" s="25" t="s">
        <v>237</v>
      </c>
      <c r="C77" s="26" t="s">
        <v>58</v>
      </c>
      <c r="D77" s="26" t="s">
        <v>10</v>
      </c>
      <c r="E77" s="27">
        <v>3600</v>
      </c>
      <c r="H77" s="27">
        <v>3600</v>
      </c>
      <c r="I77" s="28">
        <v>44228</v>
      </c>
      <c r="J77" s="27">
        <f>Доходы[[#This Row],[Безналичная]]+Доходы[[#This Row],[Наличная]]</f>
        <v>3600</v>
      </c>
      <c r="K77" s="27">
        <f>Доходы[[#This Row],[Абонимент]]-Доходы[[#This Row],[Баланс]]</f>
        <v>3600</v>
      </c>
      <c r="L7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7" s="29"/>
    </row>
    <row r="78" spans="1:13" x14ac:dyDescent="0.3">
      <c r="A78" s="24">
        <f t="shared" si="2"/>
        <v>77</v>
      </c>
      <c r="B78" s="32" t="s">
        <v>238</v>
      </c>
      <c r="C78" s="26" t="s">
        <v>66</v>
      </c>
      <c r="D78" s="26" t="s">
        <v>56</v>
      </c>
      <c r="E78" s="27">
        <v>3600</v>
      </c>
      <c r="F78" s="27">
        <v>3600</v>
      </c>
      <c r="G78" s="28">
        <v>44230</v>
      </c>
      <c r="J78" s="27">
        <f>Доходы[[#This Row],[Безналичная]]+Доходы[[#This Row],[Наличная]]</f>
        <v>3600</v>
      </c>
      <c r="K78" s="27">
        <f>Доходы[[#This Row],[Абонимент]]-Доходы[[#This Row],[Баланс]]</f>
        <v>3600</v>
      </c>
      <c r="L7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8" s="29"/>
    </row>
    <row r="79" spans="1:13" x14ac:dyDescent="0.3">
      <c r="A79" s="24">
        <f t="shared" si="2"/>
        <v>78</v>
      </c>
      <c r="B79" s="32" t="s">
        <v>239</v>
      </c>
      <c r="C79" s="26" t="s">
        <v>62</v>
      </c>
      <c r="D79" s="26" t="s">
        <v>56</v>
      </c>
      <c r="E79" s="27">
        <v>3600</v>
      </c>
      <c r="H79" s="27">
        <v>3600</v>
      </c>
      <c r="I79" s="28">
        <v>44228</v>
      </c>
      <c r="J79" s="27">
        <f>Доходы[[#This Row],[Безналичная]]+Доходы[[#This Row],[Наличная]]</f>
        <v>3600</v>
      </c>
      <c r="K79" s="27">
        <f>Доходы[[#This Row],[Абонимент]]-Доходы[[#This Row],[Баланс]]</f>
        <v>3600</v>
      </c>
      <c r="L7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79" s="29"/>
    </row>
    <row r="80" spans="1:13" x14ac:dyDescent="0.3">
      <c r="A80" s="24">
        <f t="shared" si="2"/>
        <v>79</v>
      </c>
      <c r="B80" s="25" t="s">
        <v>240</v>
      </c>
      <c r="C80" s="26" t="s">
        <v>59</v>
      </c>
      <c r="D80" s="26" t="s">
        <v>10</v>
      </c>
      <c r="E80" s="27">
        <v>3600</v>
      </c>
      <c r="H80" s="27">
        <v>3600</v>
      </c>
      <c r="I80" s="28">
        <v>44235</v>
      </c>
      <c r="J80" s="27">
        <f>Доходы[[#This Row],[Безналичная]]+Доходы[[#This Row],[Наличная]]</f>
        <v>3600</v>
      </c>
      <c r="K80" s="27">
        <f>Доходы[[#This Row],[Абонимент]]-Доходы[[#This Row],[Баланс]]</f>
        <v>3600</v>
      </c>
      <c r="L8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0" s="29"/>
    </row>
    <row r="81" spans="1:13" x14ac:dyDescent="0.3">
      <c r="A81" s="24">
        <f t="shared" si="2"/>
        <v>80</v>
      </c>
      <c r="B81" s="32" t="s">
        <v>241</v>
      </c>
      <c r="C81" s="26" t="s">
        <v>57</v>
      </c>
      <c r="D81" s="26" t="s">
        <v>72</v>
      </c>
      <c r="E81" s="27">
        <v>3600</v>
      </c>
      <c r="H81" s="27">
        <v>3600</v>
      </c>
      <c r="I81" s="28">
        <v>44235</v>
      </c>
      <c r="J81" s="27">
        <f>Доходы[[#This Row],[Безналичная]]+Доходы[[#This Row],[Наличная]]</f>
        <v>3600</v>
      </c>
      <c r="K81" s="27">
        <f>Доходы[[#This Row],[Абонимент]]-Доходы[[#This Row],[Баланс]]</f>
        <v>3600</v>
      </c>
      <c r="L8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1" s="29"/>
    </row>
    <row r="82" spans="1:13" x14ac:dyDescent="0.3">
      <c r="A82" s="24">
        <f t="shared" si="2"/>
        <v>81</v>
      </c>
      <c r="B82" s="32" t="s">
        <v>242</v>
      </c>
      <c r="C82" s="26" t="s">
        <v>62</v>
      </c>
      <c r="D82" s="26" t="s">
        <v>56</v>
      </c>
      <c r="E82" s="27">
        <v>3600</v>
      </c>
      <c r="H82" s="27">
        <v>3600</v>
      </c>
      <c r="I82" s="28">
        <v>44235</v>
      </c>
      <c r="J82" s="27">
        <f>Доходы[[#This Row],[Безналичная]]+Доходы[[#This Row],[Наличная]]</f>
        <v>3600</v>
      </c>
      <c r="K82" s="27">
        <f>Доходы[[#This Row],[Абонимент]]-Доходы[[#This Row],[Баланс]]</f>
        <v>3600</v>
      </c>
      <c r="L8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2" s="29"/>
    </row>
    <row r="83" spans="1:13" x14ac:dyDescent="0.3">
      <c r="A83" s="24">
        <f t="shared" si="2"/>
        <v>82</v>
      </c>
      <c r="B83" s="32" t="s">
        <v>243</v>
      </c>
      <c r="C83" s="26" t="s">
        <v>64</v>
      </c>
      <c r="D83" s="26" t="s">
        <v>56</v>
      </c>
      <c r="E83" s="27">
        <v>3600</v>
      </c>
      <c r="H83" s="27">
        <v>3600</v>
      </c>
      <c r="I83" s="28">
        <v>44228</v>
      </c>
      <c r="J83" s="27">
        <f>Доходы[[#This Row],[Безналичная]]+Доходы[[#This Row],[Наличная]]</f>
        <v>3600</v>
      </c>
      <c r="K83" s="27">
        <f>Доходы[[#This Row],[Абонимент]]-Доходы[[#This Row],[Баланс]]</f>
        <v>3600</v>
      </c>
      <c r="L8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3" s="29"/>
    </row>
    <row r="84" spans="1:13" x14ac:dyDescent="0.3">
      <c r="A84" s="24">
        <f t="shared" si="2"/>
        <v>83</v>
      </c>
      <c r="B84" s="25" t="s">
        <v>244</v>
      </c>
      <c r="C84" s="26" t="s">
        <v>59</v>
      </c>
      <c r="D84" s="26" t="s">
        <v>10</v>
      </c>
      <c r="E84" s="27">
        <v>3600</v>
      </c>
      <c r="I84" s="28">
        <v>44251</v>
      </c>
      <c r="J84" s="27">
        <f>Доходы[[#This Row],[Безналичная]]+Доходы[[#This Row],[Наличная]]</f>
        <v>0</v>
      </c>
      <c r="K84" s="27">
        <f>Доходы[[#This Row],[Абонимент]]-Доходы[[#This Row],[Баланс]]</f>
        <v>3600</v>
      </c>
      <c r="L8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4" s="29" t="s">
        <v>161</v>
      </c>
    </row>
    <row r="85" spans="1:13" x14ac:dyDescent="0.3">
      <c r="A85" s="24">
        <f t="shared" si="2"/>
        <v>84</v>
      </c>
      <c r="B85" s="32" t="s">
        <v>245</v>
      </c>
      <c r="C85" s="26" t="s">
        <v>63</v>
      </c>
      <c r="D85" s="26" t="s">
        <v>56</v>
      </c>
      <c r="E85" s="27">
        <v>3600</v>
      </c>
      <c r="H85" s="27">
        <v>3600</v>
      </c>
      <c r="I85" s="28">
        <v>44239</v>
      </c>
      <c r="J85" s="27">
        <f>Доходы[[#This Row],[Безналичная]]+Доходы[[#This Row],[Наличная]]</f>
        <v>3600</v>
      </c>
      <c r="K85" s="27">
        <f>Доходы[[#This Row],[Абонимент]]-Доходы[[#This Row],[Баланс]]</f>
        <v>3600</v>
      </c>
      <c r="L8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5" s="29"/>
    </row>
    <row r="86" spans="1:13" x14ac:dyDescent="0.3">
      <c r="A86" s="24">
        <f t="shared" si="2"/>
        <v>85</v>
      </c>
      <c r="B86" s="32" t="s">
        <v>246</v>
      </c>
      <c r="C86" s="26" t="s">
        <v>63</v>
      </c>
      <c r="D86" s="26" t="s">
        <v>56</v>
      </c>
      <c r="E86" s="27">
        <v>3600</v>
      </c>
      <c r="H86" s="27">
        <v>3600</v>
      </c>
      <c r="I86" s="28">
        <v>44232</v>
      </c>
      <c r="J86" s="27">
        <f>Доходы[[#This Row],[Безналичная]]+Доходы[[#This Row],[Наличная]]</f>
        <v>3600</v>
      </c>
      <c r="K86" s="27">
        <f>Доходы[[#This Row],[Абонимент]]-Доходы[[#This Row],[Баланс]]</f>
        <v>3600</v>
      </c>
      <c r="L8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6" s="29"/>
    </row>
    <row r="87" spans="1:13" x14ac:dyDescent="0.3">
      <c r="A87" s="24">
        <f t="shared" si="2"/>
        <v>86</v>
      </c>
      <c r="B87" s="33" t="s">
        <v>247</v>
      </c>
      <c r="C87" s="34" t="s">
        <v>65</v>
      </c>
      <c r="D87" s="34" t="s">
        <v>56</v>
      </c>
      <c r="E87" s="27">
        <v>3600</v>
      </c>
      <c r="H87" s="27">
        <v>3600</v>
      </c>
      <c r="I87" s="28">
        <v>44230</v>
      </c>
      <c r="J87" s="27">
        <f>Доходы[[#This Row],[Безналичная]]+Доходы[[#This Row],[Наличная]]</f>
        <v>3600</v>
      </c>
      <c r="K87" s="27">
        <f>Доходы[[#This Row],[Абонимент]]-Доходы[[#This Row],[Баланс]]</f>
        <v>3600</v>
      </c>
      <c r="L8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7" s="29"/>
    </row>
    <row r="88" spans="1:13" x14ac:dyDescent="0.3">
      <c r="A88" s="24">
        <f t="shared" si="2"/>
        <v>87</v>
      </c>
      <c r="B88" s="32" t="s">
        <v>248</v>
      </c>
      <c r="C88" s="26" t="s">
        <v>62</v>
      </c>
      <c r="D88" s="26" t="s">
        <v>56</v>
      </c>
      <c r="E88" s="27">
        <v>3600</v>
      </c>
      <c r="H88" s="27">
        <v>3600</v>
      </c>
      <c r="I88" s="28">
        <v>44235</v>
      </c>
      <c r="J88" s="27">
        <f>Доходы[[#This Row],[Безналичная]]+Доходы[[#This Row],[Наличная]]</f>
        <v>3600</v>
      </c>
      <c r="K88" s="27">
        <f>Доходы[[#This Row],[Абонимент]]-Доходы[[#This Row],[Баланс]]</f>
        <v>3600</v>
      </c>
      <c r="L8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8" s="29"/>
    </row>
    <row r="89" spans="1:13" x14ac:dyDescent="0.3">
      <c r="A89" s="24">
        <f t="shared" si="2"/>
        <v>88</v>
      </c>
      <c r="B89" s="32" t="s">
        <v>249</v>
      </c>
      <c r="C89" s="26" t="s">
        <v>63</v>
      </c>
      <c r="D89" s="26" t="s">
        <v>56</v>
      </c>
      <c r="E89" s="27">
        <v>3600</v>
      </c>
      <c r="H89" s="27">
        <v>3600</v>
      </c>
      <c r="I89" s="28">
        <v>44233</v>
      </c>
      <c r="J89" s="27">
        <f>Доходы[[#This Row],[Безналичная]]+Доходы[[#This Row],[Наличная]]</f>
        <v>3600</v>
      </c>
      <c r="K89" s="27">
        <f>Доходы[[#This Row],[Абонимент]]-Доходы[[#This Row],[Баланс]]</f>
        <v>3600</v>
      </c>
      <c r="L8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89" s="29"/>
    </row>
    <row r="90" spans="1:13" x14ac:dyDescent="0.3">
      <c r="A90" s="24">
        <f t="shared" si="2"/>
        <v>89</v>
      </c>
      <c r="B90" s="32" t="s">
        <v>250</v>
      </c>
      <c r="C90" s="26" t="s">
        <v>63</v>
      </c>
      <c r="D90" s="26" t="s">
        <v>56</v>
      </c>
      <c r="E90" s="27">
        <v>3600</v>
      </c>
      <c r="H90" s="27">
        <v>3600</v>
      </c>
      <c r="I90" s="28">
        <v>44224</v>
      </c>
      <c r="J90" s="27">
        <f>Доходы[[#This Row],[Безналичная]]+Доходы[[#This Row],[Наличная]]</f>
        <v>3600</v>
      </c>
      <c r="K90" s="27">
        <f>Доходы[[#This Row],[Абонимент]]-Доходы[[#This Row],[Баланс]]</f>
        <v>3600</v>
      </c>
      <c r="L9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0" s="31">
        <v>44239</v>
      </c>
    </row>
    <row r="91" spans="1:13" x14ac:dyDescent="0.3">
      <c r="A91" s="24">
        <f t="shared" si="2"/>
        <v>90</v>
      </c>
      <c r="B91" s="25" t="s">
        <v>251</v>
      </c>
      <c r="C91" s="26" t="s">
        <v>59</v>
      </c>
      <c r="D91" s="26" t="s">
        <v>10</v>
      </c>
      <c r="E91" s="27">
        <v>3600</v>
      </c>
      <c r="F91" s="27">
        <v>3600</v>
      </c>
      <c r="G91" s="28">
        <v>44228</v>
      </c>
      <c r="J91" s="27">
        <f>Доходы[[#This Row],[Безналичная]]+Доходы[[#This Row],[Наличная]]</f>
        <v>3600</v>
      </c>
      <c r="K91" s="27">
        <f>Доходы[[#This Row],[Абонимент]]-Доходы[[#This Row],[Баланс]]</f>
        <v>3600</v>
      </c>
      <c r="L9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1" s="29"/>
    </row>
    <row r="92" spans="1:13" x14ac:dyDescent="0.3">
      <c r="A92" s="24">
        <f t="shared" si="2"/>
        <v>91</v>
      </c>
      <c r="B92" s="32" t="s">
        <v>252</v>
      </c>
      <c r="C92" s="26" t="s">
        <v>64</v>
      </c>
      <c r="D92" s="26" t="s">
        <v>56</v>
      </c>
      <c r="E92" s="27">
        <v>3600</v>
      </c>
      <c r="H92" s="27">
        <v>3600</v>
      </c>
      <c r="I92" s="28">
        <v>44228</v>
      </c>
      <c r="J92" s="27">
        <f>Доходы[[#This Row],[Безналичная]]+Доходы[[#This Row],[Наличная]]</f>
        <v>3600</v>
      </c>
      <c r="K92" s="27">
        <f>Доходы[[#This Row],[Абонимент]]-Доходы[[#This Row],[Баланс]]</f>
        <v>3600</v>
      </c>
      <c r="L9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2" s="29"/>
    </row>
    <row r="93" spans="1:13" x14ac:dyDescent="0.3">
      <c r="A93" s="24">
        <f t="shared" si="2"/>
        <v>92</v>
      </c>
      <c r="B93" s="51" t="s">
        <v>253</v>
      </c>
      <c r="C93" s="34" t="s">
        <v>58</v>
      </c>
      <c r="D93" s="34" t="s">
        <v>10</v>
      </c>
      <c r="E93" s="27">
        <v>3600</v>
      </c>
      <c r="F93" s="27">
        <v>3600</v>
      </c>
      <c r="G93" s="28">
        <v>44235</v>
      </c>
      <c r="J93" s="27">
        <f>Доходы[[#This Row],[Безналичная]]+Доходы[[#This Row],[Наличная]]</f>
        <v>3600</v>
      </c>
      <c r="K93" s="27">
        <f>Доходы[[#This Row],[Абонимент]]-Доходы[[#This Row],[Баланс]]</f>
        <v>3600</v>
      </c>
      <c r="L9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3" s="29"/>
    </row>
    <row r="94" spans="1:13" x14ac:dyDescent="0.3">
      <c r="A94" s="24">
        <f t="shared" si="2"/>
        <v>93</v>
      </c>
      <c r="B94" s="32" t="s">
        <v>254</v>
      </c>
      <c r="C94" s="26" t="s">
        <v>57</v>
      </c>
      <c r="D94" s="26" t="s">
        <v>72</v>
      </c>
      <c r="E94" s="27">
        <v>3600</v>
      </c>
      <c r="H94" s="27">
        <v>3600</v>
      </c>
      <c r="I94" s="28">
        <v>44231</v>
      </c>
      <c r="J94" s="27">
        <f>Доходы[[#This Row],[Безналичная]]+Доходы[[#This Row],[Наличная]]</f>
        <v>3600</v>
      </c>
      <c r="K94" s="27">
        <f>Доходы[[#This Row],[Абонимент]]-Доходы[[#This Row],[Баланс]]</f>
        <v>3600</v>
      </c>
      <c r="L9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4" s="29"/>
    </row>
    <row r="95" spans="1:13" x14ac:dyDescent="0.3">
      <c r="A95" s="24">
        <f t="shared" si="2"/>
        <v>94</v>
      </c>
      <c r="B95" s="25" t="s">
        <v>255</v>
      </c>
      <c r="C95" s="26" t="s">
        <v>58</v>
      </c>
      <c r="D95" s="26" t="s">
        <v>10</v>
      </c>
      <c r="E95" s="27">
        <v>3600</v>
      </c>
      <c r="H95" s="27">
        <v>3600</v>
      </c>
      <c r="I95" s="28">
        <v>44228</v>
      </c>
      <c r="J95" s="27">
        <f>Доходы[[#This Row],[Безналичная]]+Доходы[[#This Row],[Наличная]]</f>
        <v>3600</v>
      </c>
      <c r="K95" s="27">
        <f>Доходы[[#This Row],[Абонимент]]-Доходы[[#This Row],[Баланс]]</f>
        <v>3600</v>
      </c>
      <c r="L9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5" s="29"/>
    </row>
    <row r="96" spans="1:13" x14ac:dyDescent="0.3">
      <c r="A96" s="24">
        <f t="shared" si="2"/>
        <v>95</v>
      </c>
      <c r="B96" s="32" t="s">
        <v>256</v>
      </c>
      <c r="C96" s="26" t="s">
        <v>64</v>
      </c>
      <c r="D96" s="26" t="s">
        <v>56</v>
      </c>
      <c r="E96" s="27">
        <v>3600</v>
      </c>
      <c r="H96" s="27">
        <v>3600</v>
      </c>
      <c r="I96" s="28">
        <v>44230</v>
      </c>
      <c r="J96" s="27">
        <f>Доходы[[#This Row],[Безналичная]]+Доходы[[#This Row],[Наличная]]</f>
        <v>3600</v>
      </c>
      <c r="K96" s="27">
        <f>Доходы[[#This Row],[Абонимент]]-Доходы[[#This Row],[Баланс]]</f>
        <v>3600</v>
      </c>
      <c r="L9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6" s="29"/>
    </row>
    <row r="97" spans="1:13" x14ac:dyDescent="0.3">
      <c r="A97" s="24">
        <f t="shared" si="2"/>
        <v>96</v>
      </c>
      <c r="B97" s="32" t="s">
        <v>257</v>
      </c>
      <c r="C97" s="26" t="s">
        <v>62</v>
      </c>
      <c r="D97" s="26" t="s">
        <v>56</v>
      </c>
      <c r="E97" s="27">
        <v>3600</v>
      </c>
      <c r="H97" s="27">
        <v>3600</v>
      </c>
      <c r="I97" s="28">
        <v>44255</v>
      </c>
      <c r="J97" s="27">
        <f>Доходы[[#This Row],[Безналичная]]+Доходы[[#This Row],[Наличная]]</f>
        <v>3600</v>
      </c>
      <c r="K97" s="27">
        <f>Доходы[[#This Row],[Абонимент]]-Доходы[[#This Row],[Баланс]]</f>
        <v>3600</v>
      </c>
      <c r="L9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7" s="29"/>
    </row>
    <row r="98" spans="1:13" x14ac:dyDescent="0.3">
      <c r="A98" s="24">
        <f t="shared" ref="A98:A112" si="3">+ROW()-1</f>
        <v>97</v>
      </c>
      <c r="B98" s="25" t="s">
        <v>258</v>
      </c>
      <c r="C98" s="26" t="s">
        <v>58</v>
      </c>
      <c r="D98" s="26" t="s">
        <v>10</v>
      </c>
      <c r="E98" s="27">
        <v>3600</v>
      </c>
      <c r="H98" s="27">
        <v>3600</v>
      </c>
      <c r="I98" s="28">
        <v>44228</v>
      </c>
      <c r="J98" s="27">
        <f>Доходы[[#This Row],[Безналичная]]+Доходы[[#This Row],[Наличная]]</f>
        <v>3600</v>
      </c>
      <c r="K98" s="27">
        <f>Доходы[[#This Row],[Абонимент]]-Доходы[[#This Row],[Баланс]]</f>
        <v>3600</v>
      </c>
      <c r="L9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98" s="29"/>
    </row>
    <row r="99" spans="1:13" x14ac:dyDescent="0.3">
      <c r="A99" s="24">
        <f t="shared" si="3"/>
        <v>98</v>
      </c>
      <c r="B99" s="32" t="s">
        <v>259</v>
      </c>
      <c r="C99" s="26" t="s">
        <v>64</v>
      </c>
      <c r="D99" s="26" t="s">
        <v>56</v>
      </c>
      <c r="E99" s="27">
        <v>3600</v>
      </c>
      <c r="H99" s="27">
        <v>3600</v>
      </c>
      <c r="I99" s="28">
        <v>44228</v>
      </c>
      <c r="J99" s="27">
        <f>Доходы[[#This Row],[Безналичная]]+Доходы[[#This Row],[Наличная]]</f>
        <v>3600</v>
      </c>
      <c r="K99" s="27">
        <f>Доходы[[#This Row],[Абонимент]]-Доходы[[#This Row],[Баланс]]</f>
        <v>1800</v>
      </c>
      <c r="L9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1800</v>
      </c>
      <c r="M99" s="29"/>
    </row>
    <row r="100" spans="1:13" x14ac:dyDescent="0.3">
      <c r="A100" s="24">
        <f t="shared" si="3"/>
        <v>99</v>
      </c>
      <c r="B100" s="32" t="s">
        <v>260</v>
      </c>
      <c r="C100" s="26" t="s">
        <v>63</v>
      </c>
      <c r="D100" s="26" t="s">
        <v>56</v>
      </c>
      <c r="E100" s="27">
        <v>3600</v>
      </c>
      <c r="H100" s="27">
        <v>3600</v>
      </c>
      <c r="I100" s="28">
        <v>44229</v>
      </c>
      <c r="J100" s="27">
        <f>Доходы[[#This Row],[Безналичная]]+Доходы[[#This Row],[Наличная]]</f>
        <v>3600</v>
      </c>
      <c r="K100" s="27">
        <f>Доходы[[#This Row],[Абонимент]]-Доходы[[#This Row],[Баланс]]</f>
        <v>3600</v>
      </c>
      <c r="L10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0" s="29"/>
    </row>
    <row r="101" spans="1:13" x14ac:dyDescent="0.3">
      <c r="A101" s="24">
        <f t="shared" si="3"/>
        <v>100</v>
      </c>
      <c r="B101" s="25" t="s">
        <v>261</v>
      </c>
      <c r="C101" s="26" t="s">
        <v>61</v>
      </c>
      <c r="D101" s="26" t="s">
        <v>10</v>
      </c>
      <c r="E101" s="27">
        <v>3600</v>
      </c>
      <c r="H101" s="27">
        <v>3600</v>
      </c>
      <c r="I101" s="28">
        <v>44232</v>
      </c>
      <c r="J101" s="27">
        <f>Доходы[[#This Row],[Безналичная]]+Доходы[[#This Row],[Наличная]]</f>
        <v>3600</v>
      </c>
      <c r="K101" s="27">
        <f>Доходы[[#This Row],[Абонимент]]-Доходы[[#This Row],[Баланс]]</f>
        <v>3600</v>
      </c>
      <c r="L10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1" s="29"/>
    </row>
    <row r="102" spans="1:13" x14ac:dyDescent="0.3">
      <c r="A102" s="24">
        <f t="shared" si="3"/>
        <v>101</v>
      </c>
      <c r="B102" s="25" t="s">
        <v>262</v>
      </c>
      <c r="C102" s="26" t="s">
        <v>59</v>
      </c>
      <c r="D102" s="26" t="s">
        <v>10</v>
      </c>
      <c r="E102" s="27">
        <v>3600</v>
      </c>
      <c r="I102" s="28">
        <v>44237</v>
      </c>
      <c r="J102" s="27">
        <f>Доходы[[#This Row],[Безналичная]]+Доходы[[#This Row],[Наличная]]</f>
        <v>0</v>
      </c>
      <c r="K102" s="27">
        <f>Доходы[[#This Row],[Абонимент]]-Доходы[[#This Row],[Баланс]]</f>
        <v>1800</v>
      </c>
      <c r="L10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1800</v>
      </c>
      <c r="M102" s="29" t="s">
        <v>161</v>
      </c>
    </row>
    <row r="103" spans="1:13" x14ac:dyDescent="0.3">
      <c r="A103" s="24">
        <f t="shared" si="3"/>
        <v>102</v>
      </c>
      <c r="B103" s="25" t="s">
        <v>263</v>
      </c>
      <c r="C103" s="26" t="s">
        <v>61</v>
      </c>
      <c r="D103" s="26" t="s">
        <v>10</v>
      </c>
      <c r="E103" s="27">
        <v>3600</v>
      </c>
      <c r="H103" s="27">
        <v>3600</v>
      </c>
      <c r="I103" s="28">
        <v>44238</v>
      </c>
      <c r="J103" s="27">
        <f>Доходы[[#This Row],[Безналичная]]+Доходы[[#This Row],[Наличная]]</f>
        <v>3600</v>
      </c>
      <c r="K103" s="27">
        <f>Доходы[[#This Row],[Абонимент]]-Доходы[[#This Row],[Баланс]]</f>
        <v>2700</v>
      </c>
      <c r="L103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900</v>
      </c>
      <c r="M103" s="29"/>
    </row>
    <row r="104" spans="1:13" x14ac:dyDescent="0.3">
      <c r="A104" s="24">
        <f t="shared" si="3"/>
        <v>103</v>
      </c>
      <c r="B104" s="25" t="s">
        <v>264</v>
      </c>
      <c r="C104" s="26" t="s">
        <v>59</v>
      </c>
      <c r="D104" s="26" t="s">
        <v>10</v>
      </c>
      <c r="E104" s="27">
        <v>3600</v>
      </c>
      <c r="H104" s="27">
        <v>3600</v>
      </c>
      <c r="I104" s="28">
        <v>44246</v>
      </c>
      <c r="J104" s="27">
        <f>Доходы[[#This Row],[Безналичная]]+Доходы[[#This Row],[Наличная]]</f>
        <v>3600</v>
      </c>
      <c r="K104" s="27">
        <f>Доходы[[#This Row],[Абонимент]]-Доходы[[#This Row],[Баланс]]</f>
        <v>3600</v>
      </c>
      <c r="L104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4" s="29"/>
    </row>
    <row r="105" spans="1:13" x14ac:dyDescent="0.3">
      <c r="A105" s="24">
        <f t="shared" si="3"/>
        <v>104</v>
      </c>
      <c r="B105" s="32" t="s">
        <v>265</v>
      </c>
      <c r="C105" s="26" t="s">
        <v>71</v>
      </c>
      <c r="D105" s="26" t="s">
        <v>56</v>
      </c>
      <c r="E105" s="27">
        <v>3600</v>
      </c>
      <c r="H105" s="27">
        <v>3600</v>
      </c>
      <c r="I105" s="28">
        <v>44234</v>
      </c>
      <c r="J105" s="27">
        <f>Доходы[[#This Row],[Безналичная]]+Доходы[[#This Row],[Наличная]]</f>
        <v>3600</v>
      </c>
      <c r="K105" s="27">
        <f>Доходы[[#This Row],[Абонимент]]-Доходы[[#This Row],[Баланс]]</f>
        <v>3600</v>
      </c>
      <c r="L105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5" s="29"/>
    </row>
    <row r="106" spans="1:13" x14ac:dyDescent="0.3">
      <c r="A106" s="24">
        <f t="shared" si="3"/>
        <v>105</v>
      </c>
      <c r="B106" s="25" t="s">
        <v>266</v>
      </c>
      <c r="C106" s="26" t="s">
        <v>58</v>
      </c>
      <c r="D106" s="26" t="s">
        <v>10</v>
      </c>
      <c r="E106" s="27">
        <v>3600</v>
      </c>
      <c r="F106" s="27">
        <v>3600</v>
      </c>
      <c r="G106" s="28">
        <v>44235</v>
      </c>
      <c r="J106" s="27">
        <f>Доходы[[#This Row],[Безналичная]]+Доходы[[#This Row],[Наличная]]</f>
        <v>3600</v>
      </c>
      <c r="K106" s="27">
        <f>Доходы[[#This Row],[Абонимент]]-Доходы[[#This Row],[Баланс]]</f>
        <v>3600</v>
      </c>
      <c r="L106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6" s="29"/>
    </row>
    <row r="107" spans="1:13" x14ac:dyDescent="0.3">
      <c r="A107" s="24">
        <f t="shared" si="3"/>
        <v>106</v>
      </c>
      <c r="B107" s="32" t="s">
        <v>267</v>
      </c>
      <c r="C107" s="26" t="s">
        <v>66</v>
      </c>
      <c r="D107" s="26" t="s">
        <v>56</v>
      </c>
      <c r="E107" s="27">
        <v>3600</v>
      </c>
      <c r="H107" s="27">
        <v>3600</v>
      </c>
      <c r="I107" s="28">
        <v>44231</v>
      </c>
      <c r="J107" s="27">
        <f>Доходы[[#This Row],[Безналичная]]+Доходы[[#This Row],[Наличная]]</f>
        <v>3600</v>
      </c>
      <c r="K107" s="27">
        <f>Доходы[[#This Row],[Абонимент]]-Доходы[[#This Row],[Баланс]]</f>
        <v>3600</v>
      </c>
      <c r="L107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7" s="29"/>
    </row>
    <row r="108" spans="1:13" x14ac:dyDescent="0.3">
      <c r="A108" s="24">
        <f t="shared" si="3"/>
        <v>107</v>
      </c>
      <c r="B108" s="32" t="s">
        <v>268</v>
      </c>
      <c r="C108" s="26" t="s">
        <v>63</v>
      </c>
      <c r="D108" s="26" t="s">
        <v>56</v>
      </c>
      <c r="E108" s="27">
        <v>3600</v>
      </c>
      <c r="H108" s="27">
        <v>3600</v>
      </c>
      <c r="I108" s="28">
        <v>44229</v>
      </c>
      <c r="J108" s="27">
        <f>Доходы[[#This Row],[Безналичная]]+Доходы[[#This Row],[Наличная]]</f>
        <v>3600</v>
      </c>
      <c r="K108" s="27">
        <f>Доходы[[#This Row],[Абонимент]]-Доходы[[#This Row],[Баланс]]</f>
        <v>3600</v>
      </c>
      <c r="L108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8" s="29"/>
    </row>
    <row r="109" spans="1:13" x14ac:dyDescent="0.3">
      <c r="A109" s="24">
        <f t="shared" si="3"/>
        <v>108</v>
      </c>
      <c r="B109" s="32" t="s">
        <v>269</v>
      </c>
      <c r="C109" s="26" t="s">
        <v>60</v>
      </c>
      <c r="D109" s="26" t="s">
        <v>56</v>
      </c>
      <c r="E109" s="27">
        <v>3600</v>
      </c>
      <c r="F109" s="27">
        <v>3600</v>
      </c>
      <c r="G109" s="28">
        <v>44228</v>
      </c>
      <c r="J109" s="27">
        <f>Доходы[[#This Row],[Безналичная]]+Доходы[[#This Row],[Наличная]]</f>
        <v>3600</v>
      </c>
      <c r="K109" s="27">
        <f>Доходы[[#This Row],[Абонимент]]-Доходы[[#This Row],[Баланс]]</f>
        <v>3600</v>
      </c>
      <c r="L109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09" s="29"/>
    </row>
    <row r="110" spans="1:13" x14ac:dyDescent="0.3">
      <c r="A110" s="24">
        <f t="shared" si="3"/>
        <v>109</v>
      </c>
      <c r="B110" s="25" t="s">
        <v>270</v>
      </c>
      <c r="C110" s="26" t="s">
        <v>59</v>
      </c>
      <c r="D110" s="26" t="s">
        <v>10</v>
      </c>
      <c r="E110" s="27">
        <v>3600</v>
      </c>
      <c r="H110" s="27">
        <v>3600</v>
      </c>
      <c r="I110" s="28">
        <v>44237</v>
      </c>
      <c r="J110" s="27">
        <f>Доходы[[#This Row],[Безналичная]]+Доходы[[#This Row],[Наличная]]</f>
        <v>3600</v>
      </c>
      <c r="K110" s="27">
        <f>Доходы[[#This Row],[Абонимент]]-Доходы[[#This Row],[Баланс]]</f>
        <v>3600</v>
      </c>
      <c r="L110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10" s="29"/>
    </row>
    <row r="111" spans="1:13" x14ac:dyDescent="0.3">
      <c r="A111" s="24">
        <f t="shared" si="3"/>
        <v>110</v>
      </c>
      <c r="B111" s="32" t="s">
        <v>271</v>
      </c>
      <c r="C111" s="34" t="s">
        <v>79</v>
      </c>
      <c r="D111" s="34" t="s">
        <v>56</v>
      </c>
      <c r="H111" s="27">
        <v>4000</v>
      </c>
      <c r="I111" s="28">
        <v>44228</v>
      </c>
      <c r="J111" s="27">
        <f>Доходы[[#This Row],[Безналичная]]+Доходы[[#This Row],[Наличная]]</f>
        <v>4000</v>
      </c>
      <c r="K111" s="27">
        <f>Доходы[[#This Row],[Абонимент]]-Доходы[[#This Row],[Баланс]]</f>
        <v>0</v>
      </c>
      <c r="L111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11" s="31">
        <v>44244</v>
      </c>
    </row>
    <row r="112" spans="1:13" ht="28.8" x14ac:dyDescent="0.3">
      <c r="A112" s="24">
        <f t="shared" si="3"/>
        <v>111</v>
      </c>
      <c r="B112" s="38" t="s">
        <v>272</v>
      </c>
      <c r="C112" s="34" t="s">
        <v>66</v>
      </c>
      <c r="D112" s="34" t="s">
        <v>56</v>
      </c>
      <c r="F112" s="27">
        <v>3500</v>
      </c>
      <c r="G112" s="28">
        <v>44230</v>
      </c>
      <c r="H112" s="27">
        <v>500</v>
      </c>
      <c r="I112" s="28">
        <v>44251</v>
      </c>
      <c r="J112" s="27">
        <f>Доходы[[#This Row],[Безналичная]]+Доходы[[#This Row],[Наличная]]</f>
        <v>4000</v>
      </c>
      <c r="K112" s="27">
        <f>Доходы[[#This Row],[Абонимент]]-Доходы[[#This Row],[Баланс]]</f>
        <v>0</v>
      </c>
      <c r="L112" s="27">
        <f>SUMIFS(Баланс_прошлого[Сумма],Баланс_прошлого[Ф.И.О.],Доходы[Ф.И.О.],Баланс_прошлого[Группа],Доходы[Группа])-SUMIFS(Долг_прошлого[Сумма],Долг_прошлого[Ф.И.О.],Доходы[Ф.И.О.],Долг_прошлого[Группа],Доходы[Группа])</f>
        <v>0</v>
      </c>
      <c r="M112" s="31" t="s">
        <v>142</v>
      </c>
    </row>
    <row r="113" spans="1:11" x14ac:dyDescent="0.3">
      <c r="A113" s="23" t="s">
        <v>14</v>
      </c>
      <c r="C113" s="26">
        <f t="array" ref="C113">SUM(1/COUNTIF(Доходы[Группа],Доходы[Группа]))</f>
        <v>14.000000000000002</v>
      </c>
      <c r="D113" s="26">
        <f t="array" ref="D113">SUM(1/COUNTIF(Доходы[Хореограф],Доходы[Хореограф]))</f>
        <v>2.9999999999999978</v>
      </c>
      <c r="E113" s="27">
        <f>SUBTOTAL(109,Доходы[Абонимент])</f>
        <v>313780</v>
      </c>
      <c r="F113" s="27">
        <f>SUBTOTAL(109,Доходы[Наличная])</f>
        <v>59380</v>
      </c>
      <c r="H113" s="27">
        <f>SUBTOTAL(109,Доходы[Безналичная])</f>
        <v>162100</v>
      </c>
      <c r="J113" s="27">
        <f>SUBTOTAL(109,Доходы[Прибыль])</f>
        <v>221480</v>
      </c>
      <c r="K113" s="27">
        <f>SUBTOTAL(109,Доходы[Ожидаемая])</f>
        <v>301930</v>
      </c>
    </row>
  </sheetData>
  <sheetProtection formatCells="0" formatColumns="0" formatRows="0" insertColumns="0" insertRows="0" insertHyperlinks="0" deleteColumns="0" deleteRows="0" autoFilter="0" pivotTables="0"/>
  <conditionalFormatting sqref="J2:J112">
    <cfRule type="cellIs" dxfId="92" priority="7" operator="lessThan">
      <formula>$K2</formula>
    </cfRule>
    <cfRule type="cellIs" dxfId="91" priority="10" operator="greaterThan">
      <formula>$K2</formula>
    </cfRule>
  </conditionalFormatting>
  <conditionalFormatting sqref="K2:K112">
    <cfRule type="cellIs" dxfId="90" priority="11" operator="greaterThan">
      <formula>$E2</formula>
    </cfRule>
    <cfRule type="cellIs" dxfId="89" priority="12" operator="lessThan">
      <formula>$E2</formula>
    </cfRule>
  </conditionalFormatting>
  <dataValidations count="2">
    <dataValidation type="list" allowBlank="1" showInputMessage="1" showErrorMessage="1" sqref="C2:C112" xr:uid="{00000000-0002-0000-0000-000000000000}">
      <formula1>Группы_наименования</formula1>
    </dataValidation>
    <dataValidation type="list" allowBlank="1" showInputMessage="1" showErrorMessage="1" sqref="D2:D112" xr:uid="{00000000-0002-0000-0000-000001000000}">
      <formula1>Хореограф_наименования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K20"/>
  <sheetViews>
    <sheetView workbookViewId="0">
      <selection activeCell="F14" sqref="F14"/>
    </sheetView>
  </sheetViews>
  <sheetFormatPr defaultRowHeight="14.4" x14ac:dyDescent="0.3"/>
  <cols>
    <col min="1" max="1" width="20" customWidth="1"/>
    <col min="2" max="2" width="9.5546875" style="8" bestFit="1" customWidth="1"/>
    <col min="3" max="3" width="28.6640625" style="8" bestFit="1" customWidth="1"/>
    <col min="4" max="4" width="9.44140625" style="12" customWidth="1"/>
    <col min="5" max="5" width="9.88671875" style="8" customWidth="1"/>
    <col min="7" max="7" width="22.33203125" bestFit="1" customWidth="1"/>
    <col min="9" max="9" width="21.88671875" bestFit="1" customWidth="1"/>
  </cols>
  <sheetData>
    <row r="1" spans="1:11" x14ac:dyDescent="0.3">
      <c r="A1" s="101" t="s">
        <v>77</v>
      </c>
      <c r="B1" s="101"/>
      <c r="C1" s="101"/>
      <c r="D1" s="101"/>
      <c r="E1" s="101"/>
      <c r="G1" s="101" t="s">
        <v>78</v>
      </c>
      <c r="H1" s="101"/>
      <c r="I1" s="101"/>
      <c r="J1" s="101"/>
      <c r="K1" s="101"/>
    </row>
    <row r="2" spans="1:11" x14ac:dyDescent="0.3">
      <c r="A2" t="s">
        <v>2</v>
      </c>
      <c r="B2" s="8" t="s">
        <v>11</v>
      </c>
      <c r="C2" s="8" t="s">
        <v>15</v>
      </c>
      <c r="D2" s="12" t="s">
        <v>16</v>
      </c>
      <c r="E2" s="8" t="s">
        <v>17</v>
      </c>
      <c r="G2" s="8" t="s">
        <v>2</v>
      </c>
      <c r="H2" s="8" t="s">
        <v>11</v>
      </c>
      <c r="I2" s="8" t="s">
        <v>15</v>
      </c>
      <c r="J2" s="12" t="s">
        <v>16</v>
      </c>
      <c r="K2" s="8" t="s">
        <v>17</v>
      </c>
    </row>
    <row r="3" spans="1:11" x14ac:dyDescent="0.3">
      <c r="A3" s="51" t="s">
        <v>215</v>
      </c>
      <c r="B3" s="37" t="s">
        <v>59</v>
      </c>
      <c r="C3" s="8" t="s">
        <v>80</v>
      </c>
      <c r="D3" s="12">
        <v>4600</v>
      </c>
      <c r="E3" s="8" t="s">
        <v>81</v>
      </c>
      <c r="G3" s="51" t="s">
        <v>231</v>
      </c>
      <c r="H3" s="43" t="s">
        <v>59</v>
      </c>
      <c r="I3" s="44" t="s">
        <v>82</v>
      </c>
      <c r="J3" s="45">
        <v>700</v>
      </c>
      <c r="K3" s="46" t="s">
        <v>81</v>
      </c>
    </row>
    <row r="4" spans="1:11" x14ac:dyDescent="0.3">
      <c r="A4" s="25" t="s">
        <v>221</v>
      </c>
      <c r="B4" s="42" t="s">
        <v>61</v>
      </c>
      <c r="C4" s="8" t="s">
        <v>80</v>
      </c>
      <c r="D4" s="12">
        <v>2800</v>
      </c>
      <c r="E4" s="8" t="s">
        <v>81</v>
      </c>
      <c r="G4" s="25" t="s">
        <v>204</v>
      </c>
      <c r="H4" s="47" t="s">
        <v>67</v>
      </c>
      <c r="I4" s="48" t="s">
        <v>82</v>
      </c>
      <c r="J4" s="49">
        <v>450</v>
      </c>
      <c r="K4" s="50" t="s">
        <v>81</v>
      </c>
    </row>
    <row r="5" spans="1:11" x14ac:dyDescent="0.3">
      <c r="A5" s="41" t="s">
        <v>69</v>
      </c>
      <c r="B5" s="42" t="s">
        <v>61</v>
      </c>
      <c r="C5" s="8" t="s">
        <v>80</v>
      </c>
      <c r="D5" s="12">
        <v>450</v>
      </c>
      <c r="E5" s="8" t="s">
        <v>81</v>
      </c>
    </row>
    <row r="6" spans="1:11" ht="28.8" x14ac:dyDescent="0.3">
      <c r="A6" s="25" t="s">
        <v>263</v>
      </c>
      <c r="B6" s="42" t="s">
        <v>61</v>
      </c>
      <c r="C6" s="8" t="s">
        <v>80</v>
      </c>
      <c r="D6" s="12">
        <v>900</v>
      </c>
      <c r="E6" s="8" t="s">
        <v>81</v>
      </c>
    </row>
    <row r="7" spans="1:11" x14ac:dyDescent="0.3">
      <c r="A7" s="25" t="s">
        <v>191</v>
      </c>
      <c r="B7" s="42" t="s">
        <v>59</v>
      </c>
      <c r="C7" s="8" t="s">
        <v>80</v>
      </c>
      <c r="D7" s="12">
        <v>100</v>
      </c>
      <c r="E7" s="8" t="s">
        <v>81</v>
      </c>
    </row>
    <row r="8" spans="1:11" x14ac:dyDescent="0.3">
      <c r="A8" s="25" t="s">
        <v>262</v>
      </c>
      <c r="B8" s="42" t="s">
        <v>59</v>
      </c>
      <c r="C8" s="8" t="s">
        <v>144</v>
      </c>
      <c r="D8" s="12">
        <v>1800</v>
      </c>
    </row>
    <row r="9" spans="1:11" x14ac:dyDescent="0.3">
      <c r="A9" s="32" t="s">
        <v>259</v>
      </c>
      <c r="B9" s="42" t="s">
        <v>64</v>
      </c>
      <c r="C9" s="8" t="s">
        <v>80</v>
      </c>
      <c r="D9" s="12">
        <v>1800</v>
      </c>
      <c r="E9" s="8" t="s">
        <v>81</v>
      </c>
    </row>
    <row r="10" spans="1:11" ht="15" customHeight="1" x14ac:dyDescent="0.3">
      <c r="A10" s="32" t="s">
        <v>170</v>
      </c>
      <c r="B10" s="42" t="s">
        <v>68</v>
      </c>
      <c r="C10" s="8" t="s">
        <v>80</v>
      </c>
      <c r="D10" s="12">
        <v>1000</v>
      </c>
      <c r="E10" s="8" t="s">
        <v>81</v>
      </c>
    </row>
    <row r="20" spans="1:1" x14ac:dyDescent="0.3">
      <c r="A20" t="s">
        <v>18</v>
      </c>
    </row>
  </sheetData>
  <mergeCells count="2">
    <mergeCell ref="A1:E1"/>
    <mergeCell ref="G1:K1"/>
  </mergeCells>
  <dataValidations disablePrompts="1" count="2">
    <dataValidation type="list" allowBlank="1" showInputMessage="1" showErrorMessage="1" sqref="H3:H4 B3:B10" xr:uid="{00000000-0002-0000-0100-000000000000}">
      <formula1>Группы_наименования</formula1>
    </dataValidation>
    <dataValidation type="list" allowBlank="1" showInputMessage="1" showErrorMessage="1" sqref="A5" xr:uid="{00000000-0002-0000-0100-000001000000}">
      <formula1>ФИО_ученики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C28" sqref="C28"/>
    </sheetView>
  </sheetViews>
  <sheetFormatPr defaultRowHeight="14.4" x14ac:dyDescent="0.3"/>
  <cols>
    <col min="1" max="1" width="9.21875" style="1" customWidth="1"/>
    <col min="2" max="2" width="22.5546875" style="8" customWidth="1"/>
    <col min="3" max="3" width="12.77734375" style="8" bestFit="1" customWidth="1"/>
    <col min="4" max="4" width="9.88671875" style="2" bestFit="1" customWidth="1"/>
    <col min="5" max="5" width="9.44140625" style="12" customWidth="1"/>
  </cols>
  <sheetData>
    <row r="1" spans="1:5" x14ac:dyDescent="0.3">
      <c r="A1" s="1" t="s">
        <v>1</v>
      </c>
      <c r="B1" s="8" t="s">
        <v>53</v>
      </c>
      <c r="C1" s="8" t="s">
        <v>73</v>
      </c>
      <c r="D1" s="2" t="s">
        <v>3</v>
      </c>
      <c r="E1" s="12" t="s">
        <v>16</v>
      </c>
    </row>
    <row r="2" spans="1:5" x14ac:dyDescent="0.3">
      <c r="A2" s="1">
        <f t="shared" ref="A2:A7" si="0">ROW()-1</f>
        <v>1</v>
      </c>
      <c r="B2" s="8" t="s">
        <v>83</v>
      </c>
      <c r="C2" s="8" t="s">
        <v>4</v>
      </c>
      <c r="D2" s="2">
        <v>44228</v>
      </c>
      <c r="E2">
        <v>400</v>
      </c>
    </row>
    <row r="3" spans="1:5" x14ac:dyDescent="0.3">
      <c r="A3" s="1">
        <f t="shared" si="0"/>
        <v>2</v>
      </c>
      <c r="B3" s="8" t="s">
        <v>84</v>
      </c>
      <c r="C3" s="8" t="s">
        <v>4</v>
      </c>
      <c r="D3" s="2">
        <v>44228</v>
      </c>
      <c r="E3">
        <v>289</v>
      </c>
    </row>
    <row r="4" spans="1:5" x14ac:dyDescent="0.3">
      <c r="A4" s="1">
        <f t="shared" si="0"/>
        <v>3</v>
      </c>
      <c r="B4" s="8" t="s">
        <v>139</v>
      </c>
      <c r="C4" s="8" t="s">
        <v>4</v>
      </c>
      <c r="D4" s="2">
        <v>44238</v>
      </c>
      <c r="E4">
        <v>519</v>
      </c>
    </row>
    <row r="5" spans="1:5" x14ac:dyDescent="0.3">
      <c r="A5" s="1">
        <f t="shared" si="0"/>
        <v>4</v>
      </c>
      <c r="B5" s="8" t="s">
        <v>140</v>
      </c>
      <c r="C5" s="8" t="s">
        <v>4</v>
      </c>
      <c r="D5" s="2">
        <v>44239</v>
      </c>
      <c r="E5">
        <v>400</v>
      </c>
    </row>
    <row r="6" spans="1:5" x14ac:dyDescent="0.3">
      <c r="A6" s="1">
        <f t="shared" si="0"/>
        <v>5</v>
      </c>
      <c r="B6" s="8" t="s">
        <v>143</v>
      </c>
      <c r="C6" s="8" t="s">
        <v>5</v>
      </c>
      <c r="D6" s="2">
        <v>44255</v>
      </c>
      <c r="E6">
        <f>3900+1300</f>
        <v>5200</v>
      </c>
    </row>
    <row r="7" spans="1:5" x14ac:dyDescent="0.3">
      <c r="A7" s="1">
        <f t="shared" si="0"/>
        <v>6</v>
      </c>
      <c r="B7" s="8" t="s">
        <v>152</v>
      </c>
      <c r="C7" s="8" t="s">
        <v>5</v>
      </c>
      <c r="D7" s="2">
        <v>44255</v>
      </c>
      <c r="E7">
        <v>7000</v>
      </c>
    </row>
    <row r="8" spans="1:5" x14ac:dyDescent="0.3">
      <c r="A8" s="1">
        <f>ROW()-1</f>
        <v>7</v>
      </c>
      <c r="B8" s="8" t="s">
        <v>55</v>
      </c>
      <c r="C8" s="8" t="s">
        <v>5</v>
      </c>
      <c r="D8" s="2">
        <v>44245</v>
      </c>
      <c r="E8">
        <v>100000</v>
      </c>
    </row>
    <row r="9" spans="1:5" x14ac:dyDescent="0.3">
      <c r="A9" s="1">
        <f>ROW()-1</f>
        <v>8</v>
      </c>
      <c r="B9" s="8" t="s">
        <v>154</v>
      </c>
      <c r="C9" s="8" t="s">
        <v>5</v>
      </c>
      <c r="D9" s="2">
        <v>44255</v>
      </c>
      <c r="E9">
        <v>5000</v>
      </c>
    </row>
    <row r="10" spans="1:5" x14ac:dyDescent="0.3">
      <c r="A10" s="1">
        <f>ROW()-1</f>
        <v>9</v>
      </c>
      <c r="B10" s="8" t="s">
        <v>155</v>
      </c>
      <c r="C10" s="8" t="s">
        <v>5</v>
      </c>
      <c r="D10" s="2">
        <v>44255</v>
      </c>
      <c r="E10">
        <v>4200</v>
      </c>
    </row>
    <row r="11" spans="1:5" x14ac:dyDescent="0.3">
      <c r="A11" s="1">
        <f>ROW()-1</f>
        <v>10</v>
      </c>
      <c r="B11" s="8" t="s">
        <v>159</v>
      </c>
      <c r="C11" s="8" t="s">
        <v>5</v>
      </c>
      <c r="D11" s="2">
        <v>44255</v>
      </c>
      <c r="E11">
        <v>3500</v>
      </c>
    </row>
    <row r="12" spans="1:5" x14ac:dyDescent="0.3">
      <c r="A12" s="1">
        <f>ROW()-1</f>
        <v>11</v>
      </c>
      <c r="B12" s="8" t="s">
        <v>160</v>
      </c>
      <c r="C12" s="8" t="s">
        <v>5</v>
      </c>
      <c r="D12" s="2">
        <v>44255</v>
      </c>
      <c r="E12">
        <v>1800</v>
      </c>
    </row>
    <row r="13" spans="1:5" x14ac:dyDescent="0.3">
      <c r="A13" s="1" t="s">
        <v>14</v>
      </c>
      <c r="E13">
        <f>SUBTOTAL(109,Таблица_расходы[Сумма])</f>
        <v>128308</v>
      </c>
    </row>
  </sheetData>
  <dataValidations count="1">
    <dataValidation type="list" allowBlank="1" showInputMessage="1" showErrorMessage="1" sqref="C2:C12" xr:uid="{00000000-0002-0000-0500-000000000000}">
      <formula1>"Наличная,Безналичная"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K8"/>
  <sheetViews>
    <sheetView workbookViewId="0">
      <selection activeCell="H3" sqref="H3"/>
    </sheetView>
  </sheetViews>
  <sheetFormatPr defaultRowHeight="14.4" x14ac:dyDescent="0.3"/>
  <cols>
    <col min="1" max="1" width="20.44140625" style="8" customWidth="1"/>
    <col min="2" max="2" width="19.77734375" style="8" customWidth="1"/>
    <col min="3" max="3" width="30.77734375" style="8" bestFit="1" customWidth="1"/>
    <col min="4" max="4" width="9.21875" style="12"/>
    <col min="5" max="5" width="9.21875" style="8"/>
    <col min="7" max="7" width="23.44140625" style="8" bestFit="1" customWidth="1"/>
    <col min="8" max="8" width="14.5546875" style="8" customWidth="1"/>
    <col min="9" max="9" width="24.21875" style="8" customWidth="1"/>
    <col min="10" max="10" width="9.21875" style="12"/>
    <col min="11" max="11" width="9.21875" style="8"/>
  </cols>
  <sheetData>
    <row r="1" spans="1:11" x14ac:dyDescent="0.3">
      <c r="A1" s="102" t="s">
        <v>20</v>
      </c>
      <c r="B1" s="102"/>
      <c r="C1" s="102"/>
      <c r="D1" s="102"/>
      <c r="E1" s="102"/>
      <c r="G1" s="102" t="s">
        <v>21</v>
      </c>
      <c r="H1" s="102"/>
      <c r="I1" s="102"/>
      <c r="J1" s="102"/>
      <c r="K1" s="102"/>
    </row>
    <row r="2" spans="1:11" x14ac:dyDescent="0.3">
      <c r="A2" s="8" t="s">
        <v>2</v>
      </c>
      <c r="B2" s="8" t="s">
        <v>11</v>
      </c>
      <c r="C2" s="8" t="s">
        <v>15</v>
      </c>
      <c r="D2" s="12" t="s">
        <v>16</v>
      </c>
      <c r="E2" s="8" t="s">
        <v>17</v>
      </c>
      <c r="G2" s="8" t="s">
        <v>2</v>
      </c>
      <c r="H2" s="8" t="s">
        <v>11</v>
      </c>
      <c r="I2" s="8" t="s">
        <v>15</v>
      </c>
      <c r="J2" s="12" t="s">
        <v>16</v>
      </c>
      <c r="K2" s="8" t="s">
        <v>17</v>
      </c>
    </row>
    <row r="3" spans="1:11" x14ac:dyDescent="0.3">
      <c r="A3" s="25" t="s">
        <v>220</v>
      </c>
      <c r="B3" s="26" t="s">
        <v>61</v>
      </c>
      <c r="C3" s="8" t="s">
        <v>137</v>
      </c>
      <c r="D3" s="12">
        <v>1800</v>
      </c>
      <c r="E3" s="8" t="s">
        <v>138</v>
      </c>
      <c r="G3" s="32" t="s">
        <v>238</v>
      </c>
      <c r="H3" s="26" t="s">
        <v>66</v>
      </c>
      <c r="I3" s="13" t="s">
        <v>146</v>
      </c>
      <c r="J3" s="14">
        <f>450*2</f>
        <v>900</v>
      </c>
      <c r="K3" s="8" t="s">
        <v>147</v>
      </c>
    </row>
    <row r="4" spans="1:11" x14ac:dyDescent="0.3">
      <c r="A4" s="25" t="s">
        <v>221</v>
      </c>
      <c r="B4" s="26" t="s">
        <v>61</v>
      </c>
      <c r="C4" s="8" t="s">
        <v>137</v>
      </c>
      <c r="D4" s="12">
        <v>450</v>
      </c>
      <c r="E4" s="8" t="s">
        <v>138</v>
      </c>
      <c r="G4" s="32" t="s">
        <v>239</v>
      </c>
      <c r="H4" s="26" t="s">
        <v>62</v>
      </c>
      <c r="I4" s="99" t="s">
        <v>146</v>
      </c>
      <c r="J4" s="98">
        <f>450*2</f>
        <v>900</v>
      </c>
      <c r="K4" s="8" t="s">
        <v>147</v>
      </c>
    </row>
    <row r="5" spans="1:11" x14ac:dyDescent="0.3">
      <c r="A5" s="25" t="s">
        <v>222</v>
      </c>
      <c r="B5" s="26" t="s">
        <v>59</v>
      </c>
      <c r="C5" s="8" t="s">
        <v>137</v>
      </c>
      <c r="D5" s="12">
        <v>4600</v>
      </c>
      <c r="E5" s="8" t="s">
        <v>138</v>
      </c>
    </row>
    <row r="6" spans="1:11" x14ac:dyDescent="0.3">
      <c r="A6" s="25" t="s">
        <v>223</v>
      </c>
      <c r="B6" s="26" t="s">
        <v>61</v>
      </c>
      <c r="C6" s="8" t="s">
        <v>148</v>
      </c>
      <c r="D6" s="12">
        <v>1250</v>
      </c>
      <c r="E6" s="8" t="s">
        <v>138</v>
      </c>
    </row>
    <row r="7" spans="1:11" x14ac:dyDescent="0.3">
      <c r="A7" s="25" t="s">
        <v>224</v>
      </c>
      <c r="B7" s="26" t="s">
        <v>59</v>
      </c>
      <c r="C7" s="8" t="s">
        <v>148</v>
      </c>
      <c r="D7" s="12">
        <v>900</v>
      </c>
      <c r="E7" s="8" t="s">
        <v>138</v>
      </c>
    </row>
    <row r="8" spans="1:11" x14ac:dyDescent="0.3">
      <c r="A8" s="51" t="s">
        <v>225</v>
      </c>
      <c r="B8" s="34" t="s">
        <v>57</v>
      </c>
      <c r="C8" s="8" t="s">
        <v>149</v>
      </c>
      <c r="D8" s="12">
        <v>450</v>
      </c>
      <c r="E8" s="8" t="s">
        <v>138</v>
      </c>
    </row>
  </sheetData>
  <mergeCells count="2">
    <mergeCell ref="A1:E1"/>
    <mergeCell ref="G1:K1"/>
  </mergeCells>
  <dataValidations count="1">
    <dataValidation type="list" allowBlank="1" showInputMessage="1" showErrorMessage="1" sqref="B3:B8 H3:H4" xr:uid="{00000000-0002-0000-0300-000000000000}">
      <formula1>Группы_наименования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7"/>
  <dimension ref="A1:H21"/>
  <sheetViews>
    <sheetView workbookViewId="0">
      <selection activeCell="C10" sqref="C10"/>
    </sheetView>
  </sheetViews>
  <sheetFormatPr defaultRowHeight="14.4" x14ac:dyDescent="0.3"/>
  <cols>
    <col min="1" max="1" width="7.77734375" customWidth="1"/>
    <col min="2" max="2" width="17" customWidth="1"/>
    <col min="3" max="3" width="19.21875" bestFit="1" customWidth="1"/>
    <col min="4" max="4" width="11.77734375" customWidth="1"/>
    <col min="5" max="5" width="10.21875" bestFit="1" customWidth="1"/>
    <col min="6" max="6" width="14.77734375" customWidth="1"/>
    <col min="7" max="7" width="10.77734375" bestFit="1" customWidth="1"/>
    <col min="8" max="8" width="14" bestFit="1" customWidth="1"/>
  </cols>
  <sheetData>
    <row r="1" spans="1:8" x14ac:dyDescent="0.3">
      <c r="A1" s="7" t="s">
        <v>1</v>
      </c>
      <c r="B1" s="3" t="s">
        <v>53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8</v>
      </c>
      <c r="H1" s="3" t="s">
        <v>7</v>
      </c>
    </row>
    <row r="2" spans="1:8" x14ac:dyDescent="0.3">
      <c r="A2">
        <f t="shared" ref="A2" si="0">ROW()-1</f>
        <v>1</v>
      </c>
      <c r="B2" s="8" t="s">
        <v>54</v>
      </c>
      <c r="C2" s="25" t="s">
        <v>229</v>
      </c>
      <c r="D2" s="12"/>
      <c r="E2" s="2"/>
      <c r="F2" s="12">
        <v>300</v>
      </c>
      <c r="G2" s="2">
        <v>44229</v>
      </c>
      <c r="H2" s="12">
        <f>SUM(Таблица_прочий_доход[[#This Row],[Безналичная]],Таблица_прочий_доход[[#This Row],[Наличная]])</f>
        <v>300</v>
      </c>
    </row>
    <row r="3" spans="1:8" x14ac:dyDescent="0.3">
      <c r="A3" s="1">
        <f t="shared" ref="A3:A11" si="1">ROW()-1</f>
        <v>2</v>
      </c>
      <c r="B3" s="8" t="s">
        <v>54</v>
      </c>
      <c r="C3" s="32" t="s">
        <v>243</v>
      </c>
      <c r="D3" s="12">
        <v>300</v>
      </c>
      <c r="E3" s="2">
        <v>44229</v>
      </c>
      <c r="F3" s="12"/>
      <c r="G3" s="2"/>
      <c r="H3" s="12">
        <f>SUM(Таблица_прочий_доход[[#This Row],[Безналичная]],Таблица_прочий_доход[[#This Row],[Наличная]])</f>
        <v>300</v>
      </c>
    </row>
    <row r="4" spans="1:8" x14ac:dyDescent="0.3">
      <c r="A4" s="1">
        <f t="shared" si="1"/>
        <v>3</v>
      </c>
      <c r="B4" s="8" t="s">
        <v>55</v>
      </c>
      <c r="C4" s="25" t="s">
        <v>224</v>
      </c>
      <c r="D4" s="12"/>
      <c r="E4" s="2"/>
      <c r="F4" s="12">
        <v>1600</v>
      </c>
      <c r="G4" s="2">
        <v>44229</v>
      </c>
      <c r="H4" s="12">
        <f>SUM(Таблица_прочий_доход[[#This Row],[Безналичная]],Таблица_прочий_доход[[#This Row],[Наличная]])</f>
        <v>1600</v>
      </c>
    </row>
    <row r="5" spans="1:8" x14ac:dyDescent="0.3">
      <c r="A5" s="1">
        <f t="shared" si="1"/>
        <v>4</v>
      </c>
      <c r="B5" s="8" t="s">
        <v>55</v>
      </c>
      <c r="C5" s="8" t="s">
        <v>135</v>
      </c>
      <c r="D5" s="12">
        <v>900</v>
      </c>
      <c r="E5" s="2">
        <v>44230</v>
      </c>
      <c r="F5" s="12"/>
      <c r="G5" s="2"/>
      <c r="H5" s="12">
        <f>SUM(Таблица_прочий_доход[[#This Row],[Безналичная]],Таблица_прочий_доход[[#This Row],[Наличная]])</f>
        <v>900</v>
      </c>
    </row>
    <row r="6" spans="1:8" x14ac:dyDescent="0.3">
      <c r="A6" s="1">
        <f t="shared" si="1"/>
        <v>5</v>
      </c>
      <c r="B6" s="8" t="s">
        <v>55</v>
      </c>
      <c r="C6" s="8" t="s">
        <v>56</v>
      </c>
      <c r="D6" s="12"/>
      <c r="E6" s="2"/>
      <c r="F6" s="12">
        <v>800</v>
      </c>
      <c r="G6" s="2">
        <v>44231</v>
      </c>
      <c r="H6" s="12">
        <f>SUM(Таблица_прочий_доход[[#This Row],[Безналичная]],Таблица_прочий_доход[[#This Row],[Наличная]])</f>
        <v>800</v>
      </c>
    </row>
    <row r="7" spans="1:8" x14ac:dyDescent="0.3">
      <c r="A7" s="1">
        <f t="shared" si="1"/>
        <v>6</v>
      </c>
      <c r="B7" s="8" t="s">
        <v>54</v>
      </c>
      <c r="C7" s="8" t="s">
        <v>136</v>
      </c>
      <c r="D7" s="12"/>
      <c r="E7" s="2"/>
      <c r="F7" s="12">
        <v>300</v>
      </c>
      <c r="G7" s="2">
        <v>44231</v>
      </c>
      <c r="H7" s="12">
        <f>SUM(Таблица_прочий_доход[[#This Row],[Безналичная]],Таблица_прочий_доход[[#This Row],[Наличная]])</f>
        <v>300</v>
      </c>
    </row>
    <row r="8" spans="1:8" x14ac:dyDescent="0.3">
      <c r="A8" s="1">
        <f t="shared" si="1"/>
        <v>7</v>
      </c>
      <c r="B8" s="8" t="s">
        <v>54</v>
      </c>
      <c r="C8" s="32" t="s">
        <v>248</v>
      </c>
      <c r="D8" s="12"/>
      <c r="E8" s="2"/>
      <c r="F8" s="12">
        <v>300</v>
      </c>
      <c r="G8" s="2">
        <v>44235</v>
      </c>
      <c r="H8" s="12">
        <f>SUM(Таблица_прочий_доход[[#This Row],[Безналичная]],Таблица_прочий_доход[[#This Row],[Наличная]])</f>
        <v>300</v>
      </c>
    </row>
    <row r="9" spans="1:8" x14ac:dyDescent="0.3">
      <c r="A9" s="1">
        <f t="shared" si="1"/>
        <v>8</v>
      </c>
      <c r="B9" s="8" t="s">
        <v>55</v>
      </c>
      <c r="C9" s="8" t="s">
        <v>135</v>
      </c>
      <c r="D9" s="12">
        <v>3600</v>
      </c>
      <c r="E9" s="2">
        <v>44233</v>
      </c>
      <c r="F9" s="12"/>
      <c r="G9" s="2"/>
      <c r="H9" s="12">
        <f>SUM(Таблица_прочий_доход[[#This Row],[Безналичная]],Таблица_прочий_доход[[#This Row],[Наличная]])</f>
        <v>3600</v>
      </c>
    </row>
    <row r="10" spans="1:8" x14ac:dyDescent="0.3">
      <c r="A10" s="1">
        <f t="shared" si="1"/>
        <v>9</v>
      </c>
      <c r="B10" s="8" t="s">
        <v>54</v>
      </c>
      <c r="C10" s="51" t="s">
        <v>200</v>
      </c>
      <c r="D10" s="12">
        <v>300</v>
      </c>
      <c r="E10" s="2">
        <v>44235</v>
      </c>
      <c r="F10" s="12"/>
      <c r="G10" s="2"/>
      <c r="H10" s="12">
        <f>SUM(Таблица_прочий_доход[[#This Row],[Безналичная]],Таблица_прочий_доход[[#This Row],[Наличная]])</f>
        <v>300</v>
      </c>
    </row>
    <row r="11" spans="1:8" x14ac:dyDescent="0.3">
      <c r="A11" s="1">
        <f t="shared" si="1"/>
        <v>10</v>
      </c>
      <c r="B11" s="8" t="s">
        <v>54</v>
      </c>
      <c r="C11" s="51" t="s">
        <v>200</v>
      </c>
      <c r="D11" s="12">
        <v>300</v>
      </c>
      <c r="E11" s="2">
        <v>44235</v>
      </c>
      <c r="F11" s="12"/>
      <c r="G11" s="2"/>
      <c r="H11" s="12">
        <f>SUM(Таблица_прочий_доход[[#This Row],[Безналичная]],Таблица_прочий_доход[[#This Row],[Наличная]])</f>
        <v>300</v>
      </c>
    </row>
    <row r="12" spans="1:8" x14ac:dyDescent="0.3">
      <c r="A12" s="1">
        <f t="shared" ref="A12:A17" si="2">ROW()-1</f>
        <v>11</v>
      </c>
      <c r="B12" s="8" t="s">
        <v>55</v>
      </c>
      <c r="C12" s="8" t="s">
        <v>56</v>
      </c>
      <c r="D12" s="12"/>
      <c r="E12" s="2"/>
      <c r="F12" s="12">
        <v>800</v>
      </c>
      <c r="G12" s="2">
        <v>44236</v>
      </c>
      <c r="H12" s="12">
        <f>SUM(Таблица_прочий_доход[[#This Row],[Безналичная]],Таблица_прочий_доход[[#This Row],[Наличная]])</f>
        <v>800</v>
      </c>
    </row>
    <row r="13" spans="1:8" x14ac:dyDescent="0.3">
      <c r="A13" s="1">
        <f t="shared" si="2"/>
        <v>12</v>
      </c>
      <c r="B13" s="8" t="s">
        <v>55</v>
      </c>
      <c r="C13" s="8" t="s">
        <v>141</v>
      </c>
      <c r="D13" s="12"/>
      <c r="E13" s="2"/>
      <c r="F13" s="12">
        <v>3600</v>
      </c>
      <c r="G13" s="2">
        <v>44240</v>
      </c>
      <c r="H13" s="12">
        <f>SUM(Таблица_прочий_доход[[#This Row],[Безналичная]],Таблица_прочий_доход[[#This Row],[Наличная]])</f>
        <v>3600</v>
      </c>
    </row>
    <row r="14" spans="1:8" x14ac:dyDescent="0.3">
      <c r="A14" s="1">
        <f t="shared" si="2"/>
        <v>13</v>
      </c>
      <c r="B14" s="8" t="s">
        <v>55</v>
      </c>
      <c r="C14" s="8" t="s">
        <v>135</v>
      </c>
      <c r="D14" s="12">
        <v>900</v>
      </c>
      <c r="E14" s="2">
        <v>44237</v>
      </c>
      <c r="F14" s="12"/>
      <c r="G14" s="2"/>
      <c r="H14" s="12">
        <f>SUM(Таблица_прочий_доход[[#This Row],[Безналичная]],Таблица_прочий_доход[[#This Row],[Наличная]])</f>
        <v>900</v>
      </c>
    </row>
    <row r="15" spans="1:8" x14ac:dyDescent="0.3">
      <c r="A15" s="1">
        <f t="shared" si="2"/>
        <v>14</v>
      </c>
      <c r="B15" s="8" t="s">
        <v>54</v>
      </c>
      <c r="C15" s="32" t="s">
        <v>257</v>
      </c>
      <c r="D15" s="12">
        <v>300</v>
      </c>
      <c r="E15" s="2">
        <v>44242</v>
      </c>
      <c r="F15" s="12"/>
      <c r="G15" s="2"/>
      <c r="H15" s="12">
        <f>SUM(Таблица_прочий_доход[[#This Row],[Безналичная]],Таблица_прочий_доход[[#This Row],[Наличная]])</f>
        <v>300</v>
      </c>
    </row>
    <row r="16" spans="1:8" x14ac:dyDescent="0.3">
      <c r="A16" s="1">
        <f t="shared" si="2"/>
        <v>15</v>
      </c>
      <c r="B16" s="8" t="s">
        <v>55</v>
      </c>
      <c r="C16" s="8" t="s">
        <v>135</v>
      </c>
      <c r="D16" s="12"/>
      <c r="E16" s="2"/>
      <c r="F16" s="12">
        <v>900</v>
      </c>
      <c r="G16" s="2">
        <v>44244</v>
      </c>
      <c r="H16" s="12">
        <f>SUM(Таблица_прочий_доход[[#This Row],[Безналичная]],Таблица_прочий_доход[[#This Row],[Наличная]])</f>
        <v>900</v>
      </c>
    </row>
    <row r="17" spans="1:8" x14ac:dyDescent="0.3">
      <c r="A17" s="1">
        <f t="shared" si="2"/>
        <v>16</v>
      </c>
      <c r="B17" s="8" t="s">
        <v>55</v>
      </c>
      <c r="C17" s="8" t="s">
        <v>135</v>
      </c>
      <c r="D17" s="12"/>
      <c r="E17" s="2"/>
      <c r="F17" s="12">
        <v>3600</v>
      </c>
      <c r="G17" s="2">
        <v>44248</v>
      </c>
      <c r="H17" s="12">
        <f>SUM(Таблица_прочий_доход[[#This Row],[Безналичная]],Таблица_прочий_доход[[#This Row],[Наличная]])</f>
        <v>3600</v>
      </c>
    </row>
    <row r="18" spans="1:8" x14ac:dyDescent="0.3">
      <c r="A18" s="1">
        <f>ROW()-1</f>
        <v>17</v>
      </c>
      <c r="B18" s="8" t="s">
        <v>55</v>
      </c>
      <c r="C18" s="32" t="s">
        <v>257</v>
      </c>
      <c r="D18" s="12"/>
      <c r="E18" s="2"/>
      <c r="F18" s="12">
        <v>800</v>
      </c>
      <c r="G18" s="2">
        <v>44250</v>
      </c>
      <c r="H18" s="12">
        <f>SUM(Таблица_прочий_доход[[#This Row],[Безналичная]],Таблица_прочий_доход[[#This Row],[Наличная]])</f>
        <v>800</v>
      </c>
    </row>
    <row r="19" spans="1:8" x14ac:dyDescent="0.3">
      <c r="A19" s="1">
        <f>ROW()-1</f>
        <v>18</v>
      </c>
      <c r="B19" s="8" t="s">
        <v>55</v>
      </c>
      <c r="C19" s="32" t="s">
        <v>259</v>
      </c>
      <c r="D19" s="12"/>
      <c r="E19" s="2"/>
      <c r="F19" s="12">
        <v>800</v>
      </c>
      <c r="G19" s="2">
        <v>44243</v>
      </c>
      <c r="H19" s="12">
        <f>SUM(Таблица_прочий_доход[[#This Row],[Безналичная]],Таблица_прочий_доход[[#This Row],[Наличная]])</f>
        <v>800</v>
      </c>
    </row>
    <row r="20" spans="1:8" x14ac:dyDescent="0.3">
      <c r="A20" s="1">
        <f>ROW()-1</f>
        <v>19</v>
      </c>
      <c r="B20" s="8" t="s">
        <v>55</v>
      </c>
      <c r="C20" s="8" t="s">
        <v>135</v>
      </c>
      <c r="D20" s="12"/>
      <c r="E20" s="2"/>
      <c r="F20" s="12">
        <v>3600</v>
      </c>
      <c r="G20" s="2">
        <v>44253</v>
      </c>
      <c r="H20" s="12">
        <f>SUM(Таблица_прочий_доход[[#This Row],[Безналичная]],Таблица_прочий_доход[[#This Row],[Наличная]])</f>
        <v>3600</v>
      </c>
    </row>
    <row r="21" spans="1:8" x14ac:dyDescent="0.3">
      <c r="A21" t="s">
        <v>14</v>
      </c>
      <c r="B21">
        <f t="array" ref="B21">SUM(1/COUNTIF(Таблица_прочий_доход[Наименование],Таблица_прочий_доход[Наименование]))</f>
        <v>1.9999999999999993</v>
      </c>
      <c r="C21">
        <f t="array" ref="C21">SUM(1/COUNTIF(Таблица_прочий_доход[Ф.И.О.],Таблица_прочий_доход[Ф.И.О.]))</f>
        <v>10</v>
      </c>
      <c r="D21" s="12">
        <f>SUBTOTAL(109,Таблица_прочий_доход[Наличная])</f>
        <v>6600</v>
      </c>
      <c r="F21" s="12">
        <f>SUBTOTAL(109,Таблица_прочий_доход[Безналичная])</f>
        <v>17400</v>
      </c>
      <c r="H21" s="12">
        <f>SUBTOTAL(109,Таблица_прочий_доход[Прибыль])</f>
        <v>24000</v>
      </c>
    </row>
  </sheetData>
  <dataValidations count="1">
    <dataValidation type="list" allowBlank="1" showInputMessage="1" showErrorMessage="1" sqref="B2:B20" xr:uid="{00000000-0002-0000-0400-000000000000}">
      <formula1>Доходы_наименования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6"/>
  <dimension ref="A1:AI118"/>
  <sheetViews>
    <sheetView topLeftCell="A91" workbookViewId="0">
      <pane xSplit="1" topLeftCell="B1" activePane="topRight" state="frozen"/>
      <selection pane="topRight" activeCell="B13" sqref="B13"/>
    </sheetView>
  </sheetViews>
  <sheetFormatPr defaultRowHeight="14.4" x14ac:dyDescent="0.3"/>
  <cols>
    <col min="1" max="1" width="23.44140625" style="8" bestFit="1" customWidth="1"/>
    <col min="2" max="2" width="9.44140625" style="8" customWidth="1"/>
    <col min="3" max="3" width="17.77734375" style="8" customWidth="1"/>
    <col min="4" max="34" width="5.21875" style="10" customWidth="1"/>
    <col min="35" max="35" width="9.21875" style="6" customWidth="1"/>
  </cols>
  <sheetData>
    <row r="1" spans="1:35" x14ac:dyDescent="0.3">
      <c r="A1" s="15" t="s">
        <v>2</v>
      </c>
      <c r="B1" s="15" t="s">
        <v>11</v>
      </c>
      <c r="C1" s="15" t="s">
        <v>9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6" t="s">
        <v>32</v>
      </c>
      <c r="O1" s="16" t="s">
        <v>33</v>
      </c>
      <c r="P1" s="16" t="s">
        <v>34</v>
      </c>
      <c r="Q1" s="16" t="s">
        <v>35</v>
      </c>
      <c r="R1" s="16" t="s">
        <v>36</v>
      </c>
      <c r="S1" s="16" t="s">
        <v>37</v>
      </c>
      <c r="T1" s="16" t="s">
        <v>38</v>
      </c>
      <c r="U1" s="16" t="s">
        <v>39</v>
      </c>
      <c r="V1" s="16" t="s">
        <v>40</v>
      </c>
      <c r="W1" s="16" t="s">
        <v>41</v>
      </c>
      <c r="X1" s="16" t="s">
        <v>42</v>
      </c>
      <c r="Y1" s="16" t="s">
        <v>43</v>
      </c>
      <c r="Z1" s="16" t="s">
        <v>44</v>
      </c>
      <c r="AA1" s="16" t="s">
        <v>45</v>
      </c>
      <c r="AB1" s="16" t="s">
        <v>46</v>
      </c>
      <c r="AC1" s="16" t="s">
        <v>47</v>
      </c>
      <c r="AD1" s="16" t="s">
        <v>48</v>
      </c>
      <c r="AE1" s="16" t="s">
        <v>49</v>
      </c>
      <c r="AF1" s="16" t="s">
        <v>50</v>
      </c>
      <c r="AG1" s="16" t="s">
        <v>51</v>
      </c>
      <c r="AH1" s="16" t="s">
        <v>52</v>
      </c>
      <c r="AI1" s="4" t="s">
        <v>0</v>
      </c>
    </row>
    <row r="2" spans="1:35" x14ac:dyDescent="0.3">
      <c r="A2" s="25" t="s">
        <v>162</v>
      </c>
      <c r="B2" s="8" t="s">
        <v>61</v>
      </c>
      <c r="C2" s="8" t="s">
        <v>10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 t="s">
        <v>85</v>
      </c>
      <c r="O2" s="35"/>
      <c r="P2" s="35"/>
      <c r="Q2" s="35"/>
      <c r="R2" s="35"/>
      <c r="S2" s="35" t="s">
        <v>85</v>
      </c>
      <c r="T2" s="35"/>
      <c r="U2" s="35" t="s">
        <v>85</v>
      </c>
      <c r="V2" s="35"/>
      <c r="W2" s="35"/>
      <c r="X2" s="35"/>
      <c r="Y2" s="35"/>
      <c r="Z2" s="35" t="s">
        <v>85</v>
      </c>
      <c r="AA2" s="35"/>
      <c r="AB2" s="35" t="s">
        <v>85</v>
      </c>
      <c r="AC2" s="35"/>
      <c r="AD2" s="35"/>
      <c r="AE2" s="35"/>
      <c r="AF2" s="35"/>
      <c r="AG2" s="35"/>
      <c r="AH2" s="35"/>
      <c r="AI2" s="5">
        <f>COUNTIF(Таблица_посещаемость[[#This Row],[01]:[31]],"+")+COUNTIF(Таблица_посещаемость[[#This Row],[01]:[31]],"П")</f>
        <v>5</v>
      </c>
    </row>
    <row r="3" spans="1:35" x14ac:dyDescent="0.3">
      <c r="A3" s="33" t="s">
        <v>163</v>
      </c>
      <c r="B3" s="8" t="s">
        <v>59</v>
      </c>
      <c r="C3" s="8" t="s">
        <v>10</v>
      </c>
      <c r="D3" s="35" t="s">
        <v>85</v>
      </c>
      <c r="E3" s="35"/>
      <c r="F3" s="35" t="s">
        <v>85</v>
      </c>
      <c r="G3" s="35"/>
      <c r="H3" s="35"/>
      <c r="I3" s="35"/>
      <c r="J3" s="35"/>
      <c r="K3" s="35" t="s">
        <v>85</v>
      </c>
      <c r="L3" s="35"/>
      <c r="M3" s="35" t="s">
        <v>85</v>
      </c>
      <c r="N3" s="35"/>
      <c r="O3" s="35"/>
      <c r="P3" s="35"/>
      <c r="Q3" s="35"/>
      <c r="R3" s="35" t="s">
        <v>85</v>
      </c>
      <c r="S3" s="35"/>
      <c r="T3" s="35" t="s">
        <v>85</v>
      </c>
      <c r="U3" s="35"/>
      <c r="V3" s="35"/>
      <c r="W3" s="35"/>
      <c r="X3" s="35"/>
      <c r="Y3" s="35"/>
      <c r="Z3" s="35"/>
      <c r="AA3" s="35" t="s">
        <v>85</v>
      </c>
      <c r="AB3" s="35"/>
      <c r="AC3" s="35"/>
      <c r="AD3" s="35"/>
      <c r="AE3" s="35"/>
      <c r="AF3" s="35"/>
      <c r="AG3" s="35"/>
      <c r="AH3" s="35"/>
      <c r="AI3" s="5">
        <f>COUNTIF(Таблица_посещаемость[[#This Row],[01]:[31]],"+")+COUNTIF(Таблица_посещаемость[[#This Row],[01]:[31]],"П")</f>
        <v>7</v>
      </c>
    </row>
    <row r="4" spans="1:35" x14ac:dyDescent="0.3">
      <c r="A4" s="25" t="s">
        <v>164</v>
      </c>
      <c r="B4" s="8" t="s">
        <v>58</v>
      </c>
      <c r="C4" s="8" t="s">
        <v>10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5">
        <f>COUNTIF(Таблица_посещаемость[[#This Row],[01]:[31]],"+")+COUNTIF(Таблица_посещаемость[[#This Row],[01]:[31]],"П")</f>
        <v>0</v>
      </c>
    </row>
    <row r="5" spans="1:35" x14ac:dyDescent="0.3">
      <c r="A5" s="25" t="s">
        <v>165</v>
      </c>
      <c r="B5" s="8" t="s">
        <v>62</v>
      </c>
      <c r="C5" s="8" t="s">
        <v>56</v>
      </c>
      <c r="D5" s="35" t="s">
        <v>85</v>
      </c>
      <c r="E5" s="35"/>
      <c r="F5" s="35" t="s">
        <v>85</v>
      </c>
      <c r="G5" s="35"/>
      <c r="H5" s="35"/>
      <c r="I5" s="35"/>
      <c r="J5" s="35"/>
      <c r="K5" s="35" t="s">
        <v>85</v>
      </c>
      <c r="L5" s="35"/>
      <c r="M5" s="35" t="s">
        <v>85</v>
      </c>
      <c r="N5" s="35"/>
      <c r="O5" s="35"/>
      <c r="P5" s="35"/>
      <c r="Q5" s="35"/>
      <c r="R5" s="35" t="s">
        <v>85</v>
      </c>
      <c r="S5" s="35"/>
      <c r="T5" s="35" t="s">
        <v>85</v>
      </c>
      <c r="U5" s="35"/>
      <c r="V5" s="35"/>
      <c r="W5" s="35"/>
      <c r="X5" s="35"/>
      <c r="Y5" s="35" t="s">
        <v>85</v>
      </c>
      <c r="Z5" s="35"/>
      <c r="AA5" s="35" t="s">
        <v>85</v>
      </c>
      <c r="AB5" s="35"/>
      <c r="AC5" s="35"/>
      <c r="AD5" s="35"/>
      <c r="AE5" s="35"/>
      <c r="AF5" s="35"/>
      <c r="AG5" s="35"/>
      <c r="AH5" s="35"/>
      <c r="AI5" s="5">
        <f>COUNTIF(Таблица_посещаемость[[#This Row],[01]:[31]],"+")+COUNTIF(Таблица_посещаемость[[#This Row],[01]:[31]],"П")</f>
        <v>8</v>
      </c>
    </row>
    <row r="6" spans="1:35" x14ac:dyDescent="0.3">
      <c r="A6" s="32" t="s">
        <v>166</v>
      </c>
      <c r="B6" s="34" t="s">
        <v>57</v>
      </c>
      <c r="C6" s="34" t="s">
        <v>72</v>
      </c>
      <c r="D6" s="40"/>
      <c r="E6" s="40" t="s">
        <v>145</v>
      </c>
      <c r="F6" s="40"/>
      <c r="G6" s="35" t="s">
        <v>85</v>
      </c>
      <c r="H6" s="40"/>
      <c r="I6" s="40"/>
      <c r="J6" s="40"/>
      <c r="K6" s="40"/>
      <c r="L6" s="35" t="s">
        <v>85</v>
      </c>
      <c r="M6" s="40"/>
      <c r="N6" s="40"/>
      <c r="O6" s="40"/>
      <c r="P6" s="40"/>
      <c r="Q6" s="40"/>
      <c r="R6" s="40"/>
      <c r="S6" s="35" t="s">
        <v>85</v>
      </c>
      <c r="T6" s="40"/>
      <c r="U6" s="35" t="s">
        <v>85</v>
      </c>
      <c r="V6" s="40"/>
      <c r="W6" s="40"/>
      <c r="X6" s="40"/>
      <c r="Y6" s="40"/>
      <c r="Z6" s="35" t="s">
        <v>85</v>
      </c>
      <c r="AA6" s="40"/>
      <c r="AB6" s="40"/>
      <c r="AC6" s="40"/>
      <c r="AD6" s="40"/>
      <c r="AE6" s="40"/>
      <c r="AF6" s="40"/>
      <c r="AG6" s="40"/>
      <c r="AH6" s="40"/>
      <c r="AI6" s="5">
        <f>COUNTIF(Таблица_посещаемость[[#This Row],[01]:[31]],"+")+COUNTIF(Таблица_посещаемость[[#This Row],[01]:[31]],"П")</f>
        <v>6</v>
      </c>
    </row>
    <row r="7" spans="1:35" x14ac:dyDescent="0.3">
      <c r="A7" s="25" t="s">
        <v>167</v>
      </c>
      <c r="B7" s="8" t="s">
        <v>61</v>
      </c>
      <c r="C7" s="8" t="s">
        <v>10</v>
      </c>
      <c r="D7" s="35"/>
      <c r="E7" s="35" t="s">
        <v>85</v>
      </c>
      <c r="F7" s="35"/>
      <c r="G7" s="35" t="s">
        <v>85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5">
        <f>COUNTIF(Таблица_посещаемость[[#This Row],[01]:[31]],"+")+COUNTIF(Таблица_посещаемость[[#This Row],[01]:[31]],"П")</f>
        <v>2</v>
      </c>
    </row>
    <row r="8" spans="1:35" x14ac:dyDescent="0.3">
      <c r="A8" s="32" t="s">
        <v>168</v>
      </c>
      <c r="B8" s="8" t="s">
        <v>58</v>
      </c>
      <c r="C8" s="8" t="s">
        <v>10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5">
        <f>COUNTIF(Таблица_посещаемость[[#This Row],[01]:[31]],"+")+COUNTIF(Таблица_посещаемость[[#This Row],[01]:[31]],"П")</f>
        <v>0</v>
      </c>
    </row>
    <row r="9" spans="1:35" x14ac:dyDescent="0.3">
      <c r="A9" s="30" t="s">
        <v>169</v>
      </c>
      <c r="B9" s="8" t="s">
        <v>59</v>
      </c>
      <c r="C9" s="8" t="s">
        <v>10</v>
      </c>
      <c r="D9" s="35" t="s">
        <v>85</v>
      </c>
      <c r="E9" s="35"/>
      <c r="F9" s="35" t="s">
        <v>85</v>
      </c>
      <c r="G9" s="35"/>
      <c r="H9" s="35"/>
      <c r="I9" s="35"/>
      <c r="J9" s="35"/>
      <c r="K9" s="35" t="s">
        <v>85</v>
      </c>
      <c r="L9" s="35"/>
      <c r="M9" s="35" t="s">
        <v>85</v>
      </c>
      <c r="N9" s="35"/>
      <c r="O9" s="35"/>
      <c r="P9" s="35"/>
      <c r="Q9" s="35"/>
      <c r="R9" s="35" t="s">
        <v>85</v>
      </c>
      <c r="S9" s="35"/>
      <c r="T9" s="35" t="s">
        <v>85</v>
      </c>
      <c r="U9" s="35"/>
      <c r="V9" s="35"/>
      <c r="W9" s="35"/>
      <c r="X9" s="35"/>
      <c r="Y9" s="35" t="s">
        <v>85</v>
      </c>
      <c r="Z9" s="35"/>
      <c r="AA9" s="35" t="s">
        <v>85</v>
      </c>
      <c r="AB9" s="35"/>
      <c r="AC9" s="35"/>
      <c r="AD9" s="35"/>
      <c r="AE9" s="35"/>
      <c r="AF9" s="35"/>
      <c r="AG9" s="35"/>
      <c r="AH9" s="35"/>
      <c r="AI9" s="5">
        <f>COUNTIF(Таблица_посещаемость[[#This Row],[01]:[31]],"+")+COUNTIF(Таблица_посещаемость[[#This Row],[01]:[31]],"П")</f>
        <v>8</v>
      </c>
    </row>
    <row r="10" spans="1:35" x14ac:dyDescent="0.3">
      <c r="A10" s="32" t="s">
        <v>170</v>
      </c>
      <c r="B10" s="8" t="s">
        <v>59</v>
      </c>
      <c r="C10" s="8" t="s">
        <v>10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 t="s">
        <v>85</v>
      </c>
      <c r="S10" s="35"/>
      <c r="T10" s="35" t="s">
        <v>85</v>
      </c>
      <c r="U10" s="35"/>
      <c r="V10" s="35"/>
      <c r="W10" s="35"/>
      <c r="X10" s="35"/>
      <c r="Y10" s="35" t="s">
        <v>85</v>
      </c>
      <c r="Z10" s="35"/>
      <c r="AA10" s="35" t="s">
        <v>85</v>
      </c>
      <c r="AB10" s="35"/>
      <c r="AC10" s="35"/>
      <c r="AD10" s="35"/>
      <c r="AE10" s="35"/>
      <c r="AF10" s="35"/>
      <c r="AG10" s="35"/>
      <c r="AH10" s="35"/>
      <c r="AI10" s="5">
        <f>COUNTIF(Таблица_посещаемость[[#This Row],[01]:[31]],"+")+COUNTIF(Таблица_посещаемость[[#This Row],[01]:[31]],"П")</f>
        <v>4</v>
      </c>
    </row>
    <row r="11" spans="1:35" x14ac:dyDescent="0.3">
      <c r="A11" s="25" t="s">
        <v>171</v>
      </c>
      <c r="B11" s="8" t="s">
        <v>61</v>
      </c>
      <c r="C11" s="8" t="s">
        <v>10</v>
      </c>
      <c r="D11" s="35"/>
      <c r="E11" s="35" t="s">
        <v>85</v>
      </c>
      <c r="F11" s="35"/>
      <c r="G11" s="35" t="s">
        <v>85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5">
        <f>COUNTIF(Таблица_посещаемость[[#This Row],[01]:[31]],"+")+COUNTIF(Таблица_посещаемость[[#This Row],[01]:[31]],"П")</f>
        <v>2</v>
      </c>
    </row>
    <row r="12" spans="1:35" x14ac:dyDescent="0.3">
      <c r="A12" s="25" t="s">
        <v>172</v>
      </c>
      <c r="B12" s="8" t="s">
        <v>57</v>
      </c>
      <c r="C12" s="8" t="s">
        <v>72</v>
      </c>
      <c r="D12" s="35"/>
      <c r="E12" s="35" t="s">
        <v>145</v>
      </c>
      <c r="F12" s="35"/>
      <c r="G12" s="35" t="s">
        <v>85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5">
        <f>COUNTIF(Таблица_посещаемость[[#This Row],[01]:[31]],"+")+COUNTIF(Таблица_посещаемость[[#This Row],[01]:[31]],"П")</f>
        <v>2</v>
      </c>
    </row>
    <row r="13" spans="1:35" x14ac:dyDescent="0.3">
      <c r="A13" s="25" t="s">
        <v>173</v>
      </c>
      <c r="B13" s="8" t="s">
        <v>57</v>
      </c>
      <c r="C13" s="8" t="s">
        <v>72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 t="s">
        <v>145</v>
      </c>
      <c r="AA13" s="35"/>
      <c r="AB13" s="35" t="s">
        <v>85</v>
      </c>
      <c r="AC13" s="35"/>
      <c r="AD13" s="35"/>
      <c r="AE13" s="35"/>
      <c r="AF13" s="35"/>
      <c r="AG13" s="35"/>
      <c r="AH13" s="35"/>
      <c r="AI13" s="5">
        <f>COUNTIF(Таблица_посещаемость[[#This Row],[01]:[31]],"+")+COUNTIF(Таблица_посещаемость[[#This Row],[01]:[31]],"П")</f>
        <v>2</v>
      </c>
    </row>
    <row r="14" spans="1:35" x14ac:dyDescent="0.3">
      <c r="A14" s="32" t="s">
        <v>174</v>
      </c>
      <c r="B14" s="34" t="s">
        <v>57</v>
      </c>
      <c r="C14" s="34" t="s">
        <v>72</v>
      </c>
      <c r="D14" s="40"/>
      <c r="E14" s="40" t="s">
        <v>145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5" t="s">
        <v>85</v>
      </c>
      <c r="AC14" s="40"/>
      <c r="AD14" s="40"/>
      <c r="AE14" s="40"/>
      <c r="AF14" s="40"/>
      <c r="AG14" s="40"/>
      <c r="AH14" s="40"/>
      <c r="AI14" s="5">
        <f>COUNTIF(Таблица_посещаемость[[#This Row],[01]:[31]],"+")+COUNTIF(Таблица_посещаемость[[#This Row],[01]:[31]],"П")</f>
        <v>2</v>
      </c>
    </row>
    <row r="15" spans="1:35" x14ac:dyDescent="0.3">
      <c r="A15" s="32" t="s">
        <v>175</v>
      </c>
      <c r="B15" s="8" t="s">
        <v>58</v>
      </c>
      <c r="C15" s="8" t="s">
        <v>10</v>
      </c>
      <c r="D15" s="35" t="s">
        <v>85</v>
      </c>
      <c r="E15" s="35"/>
      <c r="F15" s="35" t="s">
        <v>85</v>
      </c>
      <c r="G15" s="35"/>
      <c r="H15" s="35"/>
      <c r="I15" s="35"/>
      <c r="J15" s="35"/>
      <c r="K15" s="35" t="s">
        <v>85</v>
      </c>
      <c r="L15" s="35"/>
      <c r="M15" s="35" t="s">
        <v>85</v>
      </c>
      <c r="N15" s="35"/>
      <c r="O15" s="35"/>
      <c r="P15" s="35"/>
      <c r="Q15" s="35"/>
      <c r="R15" s="35" t="s">
        <v>85</v>
      </c>
      <c r="S15" s="35"/>
      <c r="T15" s="35" t="s">
        <v>85</v>
      </c>
      <c r="U15" s="35"/>
      <c r="V15" s="35"/>
      <c r="W15" s="35"/>
      <c r="X15" s="35"/>
      <c r="Y15" s="35"/>
      <c r="Z15" s="35"/>
      <c r="AA15" s="35" t="s">
        <v>85</v>
      </c>
      <c r="AB15" s="35"/>
      <c r="AC15" s="35"/>
      <c r="AD15" s="35"/>
      <c r="AE15" s="35"/>
      <c r="AF15" s="35"/>
      <c r="AG15" s="35"/>
      <c r="AH15" s="35"/>
      <c r="AI15" s="5">
        <f>COUNTIF(Таблица_посещаемость[[#This Row],[01]:[31]],"+")+COUNTIF(Таблица_посещаемость[[#This Row],[01]:[31]],"П")</f>
        <v>7</v>
      </c>
    </row>
    <row r="16" spans="1:35" x14ac:dyDescent="0.3">
      <c r="A16" s="32" t="s">
        <v>176</v>
      </c>
      <c r="B16" s="8" t="s">
        <v>58</v>
      </c>
      <c r="C16" s="8" t="s">
        <v>10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5">
        <f>COUNTIF(Таблица_посещаемость[[#This Row],[01]:[31]],"+")+COUNTIF(Таблица_посещаемость[[#This Row],[01]:[31]],"П")</f>
        <v>0</v>
      </c>
    </row>
    <row r="17" spans="1:35" x14ac:dyDescent="0.3">
      <c r="A17" s="32" t="s">
        <v>177</v>
      </c>
      <c r="B17" s="8" t="s">
        <v>58</v>
      </c>
      <c r="C17" s="8" t="s">
        <v>10</v>
      </c>
      <c r="D17" s="35"/>
      <c r="E17" s="35"/>
      <c r="F17" s="35" t="s">
        <v>85</v>
      </c>
      <c r="G17" s="35"/>
      <c r="H17" s="35"/>
      <c r="I17" s="35"/>
      <c r="J17" s="35"/>
      <c r="K17" s="35" t="s">
        <v>85</v>
      </c>
      <c r="L17" s="35"/>
      <c r="M17" s="35" t="s">
        <v>85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 t="s">
        <v>85</v>
      </c>
      <c r="AB17" s="35"/>
      <c r="AC17" s="35"/>
      <c r="AD17" s="35"/>
      <c r="AE17" s="35"/>
      <c r="AF17" s="35"/>
      <c r="AG17" s="35"/>
      <c r="AH17" s="35"/>
      <c r="AI17" s="5">
        <f>COUNTIF(Таблица_посещаемость[[#This Row],[01]:[31]],"+")+COUNTIF(Таблица_посещаемость[[#This Row],[01]:[31]],"П")</f>
        <v>4</v>
      </c>
    </row>
    <row r="18" spans="1:35" x14ac:dyDescent="0.3">
      <c r="A18" s="25" t="s">
        <v>178</v>
      </c>
      <c r="B18" s="8" t="s">
        <v>59</v>
      </c>
      <c r="C18" s="8" t="s">
        <v>10</v>
      </c>
      <c r="D18" s="35"/>
      <c r="E18" s="35"/>
      <c r="F18" s="35" t="s">
        <v>85</v>
      </c>
      <c r="G18" s="35"/>
      <c r="H18" s="35"/>
      <c r="I18" s="35"/>
      <c r="J18" s="35"/>
      <c r="K18" s="35" t="s">
        <v>85</v>
      </c>
      <c r="L18" s="35"/>
      <c r="M18" s="35" t="s">
        <v>85</v>
      </c>
      <c r="N18" s="35"/>
      <c r="O18" s="35"/>
      <c r="P18" s="35"/>
      <c r="Q18" s="35"/>
      <c r="R18" s="35" t="s">
        <v>85</v>
      </c>
      <c r="S18" s="35"/>
      <c r="T18" s="35" t="s">
        <v>85</v>
      </c>
      <c r="U18" s="35"/>
      <c r="V18" s="35"/>
      <c r="W18" s="35"/>
      <c r="X18" s="35"/>
      <c r="Y18" s="35"/>
      <c r="Z18" s="35"/>
      <c r="AA18" s="35" t="s">
        <v>85</v>
      </c>
      <c r="AB18" s="35"/>
      <c r="AC18" s="35"/>
      <c r="AD18" s="35"/>
      <c r="AE18" s="35"/>
      <c r="AF18" s="35"/>
      <c r="AG18" s="35"/>
      <c r="AH18" s="35"/>
      <c r="AI18" s="5">
        <f>COUNTIF(Таблица_посещаемость[[#This Row],[01]:[31]],"+")+COUNTIF(Таблица_посещаемость[[#This Row],[01]:[31]],"П")</f>
        <v>6</v>
      </c>
    </row>
    <row r="19" spans="1:35" x14ac:dyDescent="0.3">
      <c r="A19" s="32" t="s">
        <v>179</v>
      </c>
      <c r="B19" s="8" t="s">
        <v>67</v>
      </c>
      <c r="C19" s="8" t="s">
        <v>10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 t="s">
        <v>85</v>
      </c>
      <c r="P19" s="35"/>
      <c r="Q19" s="35"/>
      <c r="R19" s="35"/>
      <c r="S19" s="35"/>
      <c r="T19" s="35"/>
      <c r="U19" s="35"/>
      <c r="V19" s="35" t="s">
        <v>85</v>
      </c>
      <c r="W19" s="35"/>
      <c r="X19" s="35"/>
      <c r="Y19" s="35"/>
      <c r="Z19" s="35"/>
      <c r="AA19" s="35"/>
      <c r="AB19" s="35"/>
      <c r="AC19" s="35" t="s">
        <v>85</v>
      </c>
      <c r="AD19" s="35"/>
      <c r="AE19" s="35"/>
      <c r="AF19" s="35"/>
      <c r="AG19" s="35"/>
      <c r="AH19" s="35"/>
      <c r="AI19" s="5">
        <f>COUNTIF(Таблица_посещаемость[[#This Row],[01]:[31]],"+")+COUNTIF(Таблица_посещаемость[[#This Row],[01]:[31]],"П")</f>
        <v>3</v>
      </c>
    </row>
    <row r="20" spans="1:35" x14ac:dyDescent="0.3">
      <c r="A20" s="32" t="s">
        <v>180</v>
      </c>
      <c r="B20" s="8" t="s">
        <v>59</v>
      </c>
      <c r="C20" s="8" t="s">
        <v>10</v>
      </c>
      <c r="D20" s="35" t="s">
        <v>85</v>
      </c>
      <c r="E20" s="35"/>
      <c r="F20" s="35" t="s">
        <v>85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5">
        <f>COUNTIF(Таблица_посещаемость[[#This Row],[01]:[31]],"+")+COUNTIF(Таблица_посещаемость[[#This Row],[01]:[31]],"П")</f>
        <v>2</v>
      </c>
    </row>
    <row r="21" spans="1:35" x14ac:dyDescent="0.3">
      <c r="A21" s="32" t="s">
        <v>181</v>
      </c>
      <c r="B21" s="8" t="s">
        <v>59</v>
      </c>
      <c r="C21" s="8" t="s">
        <v>10</v>
      </c>
      <c r="D21" s="35" t="s">
        <v>85</v>
      </c>
      <c r="E21" s="35"/>
      <c r="F21" s="35" t="s">
        <v>85</v>
      </c>
      <c r="G21" s="35"/>
      <c r="H21" s="35"/>
      <c r="I21" s="35"/>
      <c r="J21" s="35"/>
      <c r="K21" s="35" t="s">
        <v>85</v>
      </c>
      <c r="L21" s="35"/>
      <c r="M21" s="35" t="s">
        <v>85</v>
      </c>
      <c r="N21" s="35"/>
      <c r="O21" s="35"/>
      <c r="P21" s="35"/>
      <c r="Q21" s="35"/>
      <c r="R21" s="35" t="s">
        <v>85</v>
      </c>
      <c r="S21" s="35"/>
      <c r="T21" s="35" t="s">
        <v>85</v>
      </c>
      <c r="U21" s="35"/>
      <c r="V21" s="35"/>
      <c r="W21" s="35"/>
      <c r="X21" s="35"/>
      <c r="Y21" s="35" t="s">
        <v>85</v>
      </c>
      <c r="Z21" s="35"/>
      <c r="AA21" s="35" t="s">
        <v>85</v>
      </c>
      <c r="AB21" s="35"/>
      <c r="AC21" s="35"/>
      <c r="AD21" s="35"/>
      <c r="AE21" s="35"/>
      <c r="AF21" s="35"/>
      <c r="AG21" s="35"/>
      <c r="AH21" s="35"/>
      <c r="AI21" s="5">
        <f>COUNTIF(Таблица_посещаемость[[#This Row],[01]:[31]],"+")+COUNTIF(Таблица_посещаемость[[#This Row],[01]:[31]],"П")</f>
        <v>8</v>
      </c>
    </row>
    <row r="22" spans="1:35" x14ac:dyDescent="0.3">
      <c r="A22" s="25" t="s">
        <v>182</v>
      </c>
      <c r="B22" s="8" t="s">
        <v>61</v>
      </c>
      <c r="C22" s="8" t="s">
        <v>10</v>
      </c>
      <c r="D22" s="35"/>
      <c r="E22" s="35" t="s">
        <v>85</v>
      </c>
      <c r="F22" s="35"/>
      <c r="G22" s="35" t="s">
        <v>85</v>
      </c>
      <c r="H22" s="35"/>
      <c r="I22" s="35"/>
      <c r="J22" s="35"/>
      <c r="K22" s="35"/>
      <c r="L22" s="35" t="s">
        <v>85</v>
      </c>
      <c r="M22" s="35"/>
      <c r="N22" s="35"/>
      <c r="O22" s="35"/>
      <c r="P22" s="35"/>
      <c r="Q22" s="35"/>
      <c r="R22" s="35"/>
      <c r="S22" s="35" t="s">
        <v>85</v>
      </c>
      <c r="T22" s="35"/>
      <c r="U22" s="35"/>
      <c r="V22" s="35"/>
      <c r="W22" s="35"/>
      <c r="X22" s="35"/>
      <c r="Y22" s="35"/>
      <c r="Z22" s="35"/>
      <c r="AA22" s="35"/>
      <c r="AB22" s="35" t="s">
        <v>85</v>
      </c>
      <c r="AC22" s="35"/>
      <c r="AD22" s="35"/>
      <c r="AE22" s="35"/>
      <c r="AF22" s="35"/>
      <c r="AG22" s="35"/>
      <c r="AH22" s="35"/>
      <c r="AI22" s="5">
        <f>COUNTIF(Таблица_посещаемость[[#This Row],[01]:[31]],"+")+COUNTIF(Таблица_посещаемость[[#This Row],[01]:[31]],"П")</f>
        <v>5</v>
      </c>
    </row>
    <row r="23" spans="1:35" x14ac:dyDescent="0.3">
      <c r="A23" s="32" t="s">
        <v>183</v>
      </c>
      <c r="B23" s="8" t="s">
        <v>59</v>
      </c>
      <c r="C23" s="8" t="s">
        <v>10</v>
      </c>
      <c r="D23" s="35" t="s">
        <v>85</v>
      </c>
      <c r="E23" s="35"/>
      <c r="F23" s="35" t="s">
        <v>85</v>
      </c>
      <c r="G23" s="35"/>
      <c r="H23" s="35"/>
      <c r="I23" s="35"/>
      <c r="J23" s="35"/>
      <c r="K23" s="35" t="s">
        <v>85</v>
      </c>
      <c r="L23" s="35"/>
      <c r="M23" s="35" t="s">
        <v>85</v>
      </c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 t="s">
        <v>85</v>
      </c>
      <c r="AB23" s="35"/>
      <c r="AC23" s="35"/>
      <c r="AD23" s="35"/>
      <c r="AE23" s="35"/>
      <c r="AF23" s="35"/>
      <c r="AG23" s="35"/>
      <c r="AH23" s="35"/>
      <c r="AI23" s="5">
        <f>COUNTIF(Таблица_посещаемость[[#This Row],[01]:[31]],"+")+COUNTIF(Таблица_посещаемость[[#This Row],[01]:[31]],"П")</f>
        <v>5</v>
      </c>
    </row>
    <row r="24" spans="1:35" x14ac:dyDescent="0.3">
      <c r="A24" s="25" t="s">
        <v>184</v>
      </c>
      <c r="B24" s="8" t="s">
        <v>58</v>
      </c>
      <c r="C24" s="8" t="s">
        <v>10</v>
      </c>
      <c r="D24" s="35"/>
      <c r="E24" s="35"/>
      <c r="F24" s="35"/>
      <c r="G24" s="35"/>
      <c r="H24" s="35"/>
      <c r="I24" s="35"/>
      <c r="J24" s="35"/>
      <c r="K24" s="35"/>
      <c r="L24" s="35"/>
      <c r="M24" s="35" t="s">
        <v>85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 t="s">
        <v>85</v>
      </c>
      <c r="AB24" s="35"/>
      <c r="AC24" s="35"/>
      <c r="AD24" s="35"/>
      <c r="AE24" s="35"/>
      <c r="AF24" s="35"/>
      <c r="AG24" s="35"/>
      <c r="AH24" s="35"/>
      <c r="AI24" s="5">
        <f>COUNTIF(Таблица_посещаемость[[#This Row],[01]:[31]],"+")+COUNTIF(Таблица_посещаемость[[#This Row],[01]:[31]],"П")</f>
        <v>2</v>
      </c>
    </row>
    <row r="25" spans="1:35" x14ac:dyDescent="0.3">
      <c r="A25" s="32" t="s">
        <v>185</v>
      </c>
      <c r="B25" s="8" t="s">
        <v>61</v>
      </c>
      <c r="C25" s="8" t="s">
        <v>10</v>
      </c>
      <c r="D25" s="35"/>
      <c r="E25" s="35"/>
      <c r="F25" s="35"/>
      <c r="G25" s="35" t="s">
        <v>85</v>
      </c>
      <c r="H25" s="35"/>
      <c r="I25" s="35"/>
      <c r="J25" s="35"/>
      <c r="K25" s="35"/>
      <c r="L25" s="35" t="s">
        <v>85</v>
      </c>
      <c r="M25" s="35"/>
      <c r="N25" s="35"/>
      <c r="O25" s="35"/>
      <c r="P25" s="35"/>
      <c r="Q25" s="35"/>
      <c r="R25" s="35"/>
      <c r="S25" s="35" t="s">
        <v>85</v>
      </c>
      <c r="T25" s="35"/>
      <c r="U25" s="35" t="s">
        <v>85</v>
      </c>
      <c r="V25" s="35"/>
      <c r="W25" s="35"/>
      <c r="X25" s="35"/>
      <c r="Y25" s="35"/>
      <c r="Z25" s="35" t="s">
        <v>85</v>
      </c>
      <c r="AA25" s="35" t="s">
        <v>85</v>
      </c>
      <c r="AB25" s="35"/>
      <c r="AC25" s="35"/>
      <c r="AD25" s="35"/>
      <c r="AE25" s="35"/>
      <c r="AF25" s="35"/>
      <c r="AG25" s="35"/>
      <c r="AH25" s="35"/>
      <c r="AI25" s="5">
        <f>COUNTIF(Таблица_посещаемость[[#This Row],[01]:[31]],"+")+COUNTIF(Таблица_посещаемость[[#This Row],[01]:[31]],"П")</f>
        <v>6</v>
      </c>
    </row>
    <row r="26" spans="1:35" x14ac:dyDescent="0.3">
      <c r="A26" s="32" t="s">
        <v>186</v>
      </c>
      <c r="B26" s="8" t="s">
        <v>59</v>
      </c>
      <c r="C26" s="8" t="s">
        <v>10</v>
      </c>
      <c r="D26" s="35" t="s">
        <v>85</v>
      </c>
      <c r="E26" s="35"/>
      <c r="F26" s="35"/>
      <c r="G26" s="35"/>
      <c r="H26" s="35"/>
      <c r="I26" s="35"/>
      <c r="J26" s="35"/>
      <c r="K26" s="35" t="s">
        <v>85</v>
      </c>
      <c r="L26" s="35"/>
      <c r="M26" s="35" t="s">
        <v>85</v>
      </c>
      <c r="N26" s="35"/>
      <c r="O26" s="35"/>
      <c r="P26" s="35"/>
      <c r="Q26" s="35"/>
      <c r="R26" s="35" t="s">
        <v>85</v>
      </c>
      <c r="S26" s="35"/>
      <c r="T26" s="35" t="s">
        <v>85</v>
      </c>
      <c r="U26" s="35"/>
      <c r="V26" s="35"/>
      <c r="W26" s="35"/>
      <c r="X26" s="35"/>
      <c r="Y26" s="35" t="s">
        <v>85</v>
      </c>
      <c r="Z26" s="35"/>
      <c r="AA26" s="35" t="s">
        <v>85</v>
      </c>
      <c r="AB26" s="35"/>
      <c r="AC26" s="35"/>
      <c r="AD26" s="35"/>
      <c r="AE26" s="35"/>
      <c r="AF26" s="35"/>
      <c r="AG26" s="35"/>
      <c r="AH26" s="35"/>
      <c r="AI26" s="5">
        <f>COUNTIF(Таблица_посещаемость[[#This Row],[01]:[31]],"+")+COUNTIF(Таблица_посещаемость[[#This Row],[01]:[31]],"П")</f>
        <v>7</v>
      </c>
    </row>
    <row r="27" spans="1:35" x14ac:dyDescent="0.3">
      <c r="A27" s="32" t="s">
        <v>187</v>
      </c>
      <c r="B27" s="8" t="s">
        <v>61</v>
      </c>
      <c r="C27" s="8" t="s">
        <v>10</v>
      </c>
      <c r="D27" s="35"/>
      <c r="E27" s="35"/>
      <c r="F27" s="35"/>
      <c r="G27" s="35" t="s">
        <v>85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5">
        <f>COUNTIF(Таблица_посещаемость[[#This Row],[01]:[31]],"+")+COUNTIF(Таблица_посещаемость[[#This Row],[01]:[31]],"П")</f>
        <v>1</v>
      </c>
    </row>
    <row r="28" spans="1:35" x14ac:dyDescent="0.3">
      <c r="A28" s="32" t="s">
        <v>188</v>
      </c>
      <c r="B28" s="8" t="s">
        <v>61</v>
      </c>
      <c r="C28" s="8" t="s">
        <v>10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5">
        <f>COUNTIF(Таблица_посещаемость[[#This Row],[01]:[31]],"+")+COUNTIF(Таблица_посещаемость[[#This Row],[01]:[31]],"П")</f>
        <v>0</v>
      </c>
    </row>
    <row r="29" spans="1:35" x14ac:dyDescent="0.3">
      <c r="A29" s="32" t="s">
        <v>189</v>
      </c>
      <c r="B29" s="8" t="s">
        <v>58</v>
      </c>
      <c r="C29" s="8" t="s">
        <v>10</v>
      </c>
      <c r="D29" s="35" t="s">
        <v>85</v>
      </c>
      <c r="E29" s="35"/>
      <c r="F29" s="35" t="s">
        <v>85</v>
      </c>
      <c r="G29" s="35"/>
      <c r="H29" s="35"/>
      <c r="I29" s="35"/>
      <c r="J29" s="35"/>
      <c r="K29" s="35" t="s">
        <v>85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 t="s">
        <v>85</v>
      </c>
      <c r="AB29" s="35"/>
      <c r="AC29" s="35"/>
      <c r="AD29" s="35"/>
      <c r="AE29" s="35"/>
      <c r="AF29" s="35"/>
      <c r="AG29" s="35"/>
      <c r="AH29" s="35"/>
      <c r="AI29" s="5">
        <f>COUNTIF(Таблица_посещаемость[[#This Row],[01]:[31]],"+")+COUNTIF(Таблица_посещаемость[[#This Row],[01]:[31]],"П")</f>
        <v>4</v>
      </c>
    </row>
    <row r="30" spans="1:35" x14ac:dyDescent="0.3">
      <c r="A30" s="25" t="s">
        <v>190</v>
      </c>
      <c r="B30" s="8" t="s">
        <v>61</v>
      </c>
      <c r="C30" s="8" t="s">
        <v>10</v>
      </c>
      <c r="D30" s="35"/>
      <c r="E30" s="35" t="s">
        <v>85</v>
      </c>
      <c r="F30" s="35"/>
      <c r="G30" s="35" t="s">
        <v>85</v>
      </c>
      <c r="H30" s="35"/>
      <c r="I30" s="35"/>
      <c r="J30" s="35"/>
      <c r="K30" s="35"/>
      <c r="L30" s="35" t="s">
        <v>85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5">
        <f>COUNTIF(Таблица_посещаемость[[#This Row],[01]:[31]],"+")+COUNTIF(Таблица_посещаемость[[#This Row],[01]:[31]],"П")</f>
        <v>3</v>
      </c>
    </row>
    <row r="31" spans="1:35" x14ac:dyDescent="0.3">
      <c r="A31" s="25" t="s">
        <v>191</v>
      </c>
      <c r="B31" s="8" t="s">
        <v>58</v>
      </c>
      <c r="C31" s="8" t="s">
        <v>10</v>
      </c>
      <c r="D31" s="35" t="s">
        <v>85</v>
      </c>
      <c r="E31" s="35"/>
      <c r="F31" s="35" t="s">
        <v>85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 t="s">
        <v>85</v>
      </c>
      <c r="S31" s="35"/>
      <c r="T31" s="35" t="s">
        <v>85</v>
      </c>
      <c r="U31" s="35"/>
      <c r="V31" s="35"/>
      <c r="W31" s="35"/>
      <c r="X31" s="35"/>
      <c r="Y31" s="35"/>
      <c r="Z31" s="35"/>
      <c r="AA31" s="35" t="s">
        <v>85</v>
      </c>
      <c r="AB31" s="35"/>
      <c r="AC31" s="35"/>
      <c r="AD31" s="35"/>
      <c r="AE31" s="35"/>
      <c r="AF31" s="35"/>
      <c r="AG31" s="35"/>
      <c r="AH31" s="35"/>
      <c r="AI31" s="5">
        <f>COUNTIF(Таблица_посещаемость[[#This Row],[01]:[31]],"+")+COUNTIF(Таблица_посещаемость[[#This Row],[01]:[31]],"П")</f>
        <v>5</v>
      </c>
    </row>
    <row r="32" spans="1:35" x14ac:dyDescent="0.3">
      <c r="A32" s="32" t="s">
        <v>192</v>
      </c>
      <c r="B32" s="8" t="s">
        <v>61</v>
      </c>
      <c r="C32" s="8" t="s">
        <v>10</v>
      </c>
      <c r="D32" s="35"/>
      <c r="E32" s="35" t="s">
        <v>85</v>
      </c>
      <c r="F32" s="35"/>
      <c r="G32" s="35" t="s">
        <v>85</v>
      </c>
      <c r="H32" s="35"/>
      <c r="I32" s="35"/>
      <c r="J32" s="35"/>
      <c r="K32" s="35"/>
      <c r="L32" s="35" t="s">
        <v>85</v>
      </c>
      <c r="M32" s="35"/>
      <c r="N32" s="35" t="s">
        <v>85</v>
      </c>
      <c r="O32" s="35"/>
      <c r="P32" s="35"/>
      <c r="Q32" s="35"/>
      <c r="R32" s="35"/>
      <c r="S32" s="35" t="s">
        <v>85</v>
      </c>
      <c r="T32" s="35"/>
      <c r="U32" s="35" t="s">
        <v>85</v>
      </c>
      <c r="V32" s="35"/>
      <c r="W32" s="35"/>
      <c r="X32" s="35"/>
      <c r="Y32" s="35"/>
      <c r="Z32" s="35"/>
      <c r="AA32" s="35"/>
      <c r="AB32" s="35" t="s">
        <v>85</v>
      </c>
      <c r="AC32" s="35"/>
      <c r="AD32" s="35"/>
      <c r="AE32" s="35"/>
      <c r="AF32" s="35"/>
      <c r="AG32" s="35"/>
      <c r="AH32" s="35"/>
      <c r="AI32" s="5">
        <f>COUNTIF(Таблица_посещаемость[[#This Row],[01]:[31]],"+")+COUNTIF(Таблица_посещаемость[[#This Row],[01]:[31]],"П")</f>
        <v>7</v>
      </c>
    </row>
    <row r="33" spans="1:35" x14ac:dyDescent="0.3">
      <c r="A33" s="51" t="s">
        <v>193</v>
      </c>
      <c r="B33" s="8" t="s">
        <v>59</v>
      </c>
      <c r="C33" s="8" t="s">
        <v>10</v>
      </c>
      <c r="D33" s="35" t="s">
        <v>85</v>
      </c>
      <c r="E33" s="35"/>
      <c r="F33" s="35" t="s">
        <v>85</v>
      </c>
      <c r="G33" s="35"/>
      <c r="H33" s="35"/>
      <c r="I33" s="35"/>
      <c r="J33" s="35"/>
      <c r="K33" s="35" t="s">
        <v>85</v>
      </c>
      <c r="L33" s="35"/>
      <c r="M33" s="35" t="s">
        <v>85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 t="s">
        <v>85</v>
      </c>
      <c r="Z33" s="35"/>
      <c r="AA33" s="35" t="s">
        <v>85</v>
      </c>
      <c r="AB33" s="35"/>
      <c r="AC33" s="35"/>
      <c r="AD33" s="35"/>
      <c r="AE33" s="35"/>
      <c r="AF33" s="35"/>
      <c r="AG33" s="35"/>
      <c r="AH33" s="35"/>
      <c r="AI33" s="5">
        <f>COUNTIF(Таблица_посещаемость[[#This Row],[01]:[31]],"+")+COUNTIF(Таблица_посещаемость[[#This Row],[01]:[31]],"П")</f>
        <v>6</v>
      </c>
    </row>
    <row r="34" spans="1:35" x14ac:dyDescent="0.3">
      <c r="A34" s="51" t="s">
        <v>194</v>
      </c>
      <c r="B34" s="8" t="s">
        <v>61</v>
      </c>
      <c r="C34" s="8" t="s">
        <v>10</v>
      </c>
      <c r="D34" s="35"/>
      <c r="E34" s="35" t="s">
        <v>85</v>
      </c>
      <c r="F34" s="35"/>
      <c r="G34" s="35" t="s">
        <v>85</v>
      </c>
      <c r="H34" s="35"/>
      <c r="I34" s="35"/>
      <c r="J34" s="35"/>
      <c r="K34" s="35"/>
      <c r="L34" s="35" t="s">
        <v>85</v>
      </c>
      <c r="M34" s="35"/>
      <c r="N34" s="35" t="s">
        <v>85</v>
      </c>
      <c r="O34" s="35"/>
      <c r="P34" s="35"/>
      <c r="Q34" s="35"/>
      <c r="R34" s="35"/>
      <c r="S34" s="35" t="s">
        <v>85</v>
      </c>
      <c r="T34" s="35"/>
      <c r="U34" s="35" t="s">
        <v>85</v>
      </c>
      <c r="V34" s="35"/>
      <c r="W34" s="35"/>
      <c r="X34" s="35"/>
      <c r="Y34" s="35"/>
      <c r="Z34" s="35" t="s">
        <v>85</v>
      </c>
      <c r="AA34" s="35"/>
      <c r="AB34" s="35" t="s">
        <v>85</v>
      </c>
      <c r="AC34" s="35"/>
      <c r="AD34" s="35"/>
      <c r="AE34" s="35"/>
      <c r="AF34" s="35"/>
      <c r="AG34" s="35"/>
      <c r="AH34" s="35"/>
      <c r="AI34" s="5">
        <f>COUNTIF(Таблица_посещаемость[[#This Row],[01]:[31]],"+")+COUNTIF(Таблица_посещаемость[[#This Row],[01]:[31]],"П")</f>
        <v>8</v>
      </c>
    </row>
    <row r="35" spans="1:35" x14ac:dyDescent="0.3">
      <c r="A35" s="32" t="s">
        <v>195</v>
      </c>
      <c r="B35" s="8" t="s">
        <v>67</v>
      </c>
      <c r="C35" s="8" t="s">
        <v>10</v>
      </c>
      <c r="D35" s="35"/>
      <c r="E35" s="35"/>
      <c r="F35" s="35"/>
      <c r="G35" s="35"/>
      <c r="H35" s="35" t="s">
        <v>85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 t="s">
        <v>85</v>
      </c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5">
        <f>COUNTIF(Таблица_посещаемость[[#This Row],[01]:[31]],"+")+COUNTIF(Таблица_посещаемость[[#This Row],[01]:[31]],"П")</f>
        <v>2</v>
      </c>
    </row>
    <row r="36" spans="1:35" x14ac:dyDescent="0.3">
      <c r="A36" s="51" t="s">
        <v>196</v>
      </c>
      <c r="B36" s="8" t="s">
        <v>67</v>
      </c>
      <c r="C36" s="8" t="s">
        <v>10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5">
        <f>COUNTIF(Таблица_посещаемость[[#This Row],[01]:[31]],"+")+COUNTIF(Таблица_посещаемость[[#This Row],[01]:[31]],"П")</f>
        <v>0</v>
      </c>
    </row>
    <row r="37" spans="1:35" x14ac:dyDescent="0.3">
      <c r="A37" s="51" t="s">
        <v>197</v>
      </c>
      <c r="B37" s="8" t="s">
        <v>59</v>
      </c>
      <c r="C37" s="8" t="s">
        <v>10</v>
      </c>
      <c r="D37" s="35" t="s">
        <v>85</v>
      </c>
      <c r="E37" s="35"/>
      <c r="F37" s="35" t="s">
        <v>85</v>
      </c>
      <c r="G37" s="35"/>
      <c r="H37" s="35"/>
      <c r="I37" s="35"/>
      <c r="J37" s="35"/>
      <c r="K37" s="35" t="s">
        <v>85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5">
        <f>COUNTIF(Таблица_посещаемость[[#This Row],[01]:[31]],"+")+COUNTIF(Таблица_посещаемость[[#This Row],[01]:[31]],"П")</f>
        <v>3</v>
      </c>
    </row>
    <row r="38" spans="1:35" x14ac:dyDescent="0.3">
      <c r="A38" s="38" t="s">
        <v>198</v>
      </c>
      <c r="B38" s="8" t="s">
        <v>61</v>
      </c>
      <c r="C38" s="8" t="s">
        <v>10</v>
      </c>
      <c r="D38" s="35"/>
      <c r="E38" s="35" t="s">
        <v>85</v>
      </c>
      <c r="F38" s="35"/>
      <c r="G38" s="35" t="s">
        <v>85</v>
      </c>
      <c r="H38" s="35"/>
      <c r="I38" s="35"/>
      <c r="J38" s="35"/>
      <c r="K38" s="35"/>
      <c r="L38" s="35"/>
      <c r="M38" s="35"/>
      <c r="N38" s="35" t="s">
        <v>85</v>
      </c>
      <c r="O38" s="35"/>
      <c r="P38" s="35"/>
      <c r="Q38" s="35"/>
      <c r="R38" s="35"/>
      <c r="S38" s="35" t="s">
        <v>85</v>
      </c>
      <c r="T38" s="35"/>
      <c r="U38" s="35" t="s">
        <v>85</v>
      </c>
      <c r="V38" s="35"/>
      <c r="W38" s="35"/>
      <c r="X38" s="35"/>
      <c r="Y38" s="35"/>
      <c r="Z38" s="35"/>
      <c r="AA38" s="35"/>
      <c r="AB38" s="35" t="s">
        <v>85</v>
      </c>
      <c r="AC38" s="35"/>
      <c r="AD38" s="35"/>
      <c r="AE38" s="35"/>
      <c r="AF38" s="35"/>
      <c r="AG38" s="35"/>
      <c r="AH38" s="35"/>
      <c r="AI38" s="5">
        <f>COUNTIF(Таблица_посещаемость[[#This Row],[01]:[31]],"+")+COUNTIF(Таблица_посещаемость[[#This Row],[01]:[31]],"П")</f>
        <v>6</v>
      </c>
    </row>
    <row r="39" spans="1:35" x14ac:dyDescent="0.3">
      <c r="A39" s="25" t="s">
        <v>199</v>
      </c>
      <c r="B39" s="8" t="s">
        <v>67</v>
      </c>
      <c r="C39" s="8" t="s">
        <v>10</v>
      </c>
      <c r="D39" s="35"/>
      <c r="E39" s="35"/>
      <c r="F39" s="35"/>
      <c r="G39" s="35"/>
      <c r="H39" s="35" t="s">
        <v>85</v>
      </c>
      <c r="I39" s="35"/>
      <c r="J39" s="35"/>
      <c r="K39" s="35"/>
      <c r="L39" s="35"/>
      <c r="M39" s="35"/>
      <c r="N39" s="35"/>
      <c r="O39" s="35" t="s">
        <v>85</v>
      </c>
      <c r="P39" s="35"/>
      <c r="Q39" s="35"/>
      <c r="R39" s="35"/>
      <c r="S39" s="35"/>
      <c r="T39" s="35"/>
      <c r="U39" s="35"/>
      <c r="V39" s="35" t="s">
        <v>85</v>
      </c>
      <c r="W39" s="35"/>
      <c r="X39" s="35"/>
      <c r="Y39" s="35"/>
      <c r="Z39" s="35"/>
      <c r="AA39" s="35"/>
      <c r="AB39" s="35"/>
      <c r="AC39" s="35" t="s">
        <v>85</v>
      </c>
      <c r="AD39" s="35"/>
      <c r="AE39" s="35"/>
      <c r="AF39" s="35"/>
      <c r="AG39" s="35"/>
      <c r="AH39" s="35"/>
      <c r="AI39" s="5">
        <f>COUNTIF(Таблица_посещаемость[[#This Row],[01]:[31]],"+")+COUNTIF(Таблица_посещаемость[[#This Row],[01]:[31]],"П")</f>
        <v>4</v>
      </c>
    </row>
    <row r="40" spans="1:35" x14ac:dyDescent="0.3">
      <c r="A40" s="51" t="s">
        <v>200</v>
      </c>
      <c r="B40" s="8" t="s">
        <v>59</v>
      </c>
      <c r="C40" s="8" t="s">
        <v>10</v>
      </c>
      <c r="D40" s="35"/>
      <c r="E40" s="35"/>
      <c r="F40" s="35"/>
      <c r="G40" s="35"/>
      <c r="H40" s="35"/>
      <c r="I40" s="35"/>
      <c r="J40" s="35"/>
      <c r="K40" s="35" t="s">
        <v>85</v>
      </c>
      <c r="L40" s="35"/>
      <c r="M40" s="35" t="s">
        <v>85</v>
      </c>
      <c r="N40" s="35"/>
      <c r="O40" s="35"/>
      <c r="P40" s="35"/>
      <c r="Q40" s="35"/>
      <c r="R40" s="35"/>
      <c r="S40" s="35"/>
      <c r="T40" s="35" t="s">
        <v>85</v>
      </c>
      <c r="U40" s="35"/>
      <c r="V40" s="35"/>
      <c r="W40" s="35"/>
      <c r="X40" s="35"/>
      <c r="Y40" s="35" t="s">
        <v>85</v>
      </c>
      <c r="Z40" s="35"/>
      <c r="AA40" s="35" t="s">
        <v>85</v>
      </c>
      <c r="AB40" s="35"/>
      <c r="AC40" s="35"/>
      <c r="AD40" s="35"/>
      <c r="AE40" s="35"/>
      <c r="AF40" s="35"/>
      <c r="AG40" s="35"/>
      <c r="AH40" s="35"/>
      <c r="AI40" s="5">
        <f>COUNTIF(Таблица_посещаемость[[#This Row],[01]:[31]],"+")+COUNTIF(Таблица_посещаемость[[#This Row],[01]:[31]],"П")</f>
        <v>5</v>
      </c>
    </row>
    <row r="41" spans="1:35" x14ac:dyDescent="0.3">
      <c r="A41" s="51" t="s">
        <v>201</v>
      </c>
      <c r="B41" s="8" t="s">
        <v>59</v>
      </c>
      <c r="C41" s="8" t="s">
        <v>10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5">
        <f>COUNTIF(Таблица_посещаемость[[#This Row],[01]:[31]],"+")+COUNTIF(Таблица_посещаемость[[#This Row],[01]:[31]],"П")</f>
        <v>0</v>
      </c>
    </row>
    <row r="42" spans="1:35" x14ac:dyDescent="0.3">
      <c r="A42" s="25" t="s">
        <v>202</v>
      </c>
      <c r="B42" s="8" t="s">
        <v>58</v>
      </c>
      <c r="C42" s="8" t="s">
        <v>10</v>
      </c>
      <c r="D42" s="35"/>
      <c r="E42" s="35"/>
      <c r="F42" s="35"/>
      <c r="G42" s="35"/>
      <c r="H42" s="35"/>
      <c r="I42" s="35"/>
      <c r="J42" s="35"/>
      <c r="K42" s="35" t="s">
        <v>85</v>
      </c>
      <c r="L42" s="35"/>
      <c r="M42" s="35" t="s">
        <v>85</v>
      </c>
      <c r="N42" s="35"/>
      <c r="O42" s="35"/>
      <c r="P42" s="35"/>
      <c r="Q42" s="35"/>
      <c r="R42" s="35" t="s">
        <v>85</v>
      </c>
      <c r="S42" s="35"/>
      <c r="T42" s="35"/>
      <c r="U42" s="35"/>
      <c r="V42" s="35"/>
      <c r="W42" s="35"/>
      <c r="X42" s="35"/>
      <c r="Y42" s="35"/>
      <c r="Z42" s="35"/>
      <c r="AA42" s="35" t="s">
        <v>85</v>
      </c>
      <c r="AB42" s="35"/>
      <c r="AC42" s="35"/>
      <c r="AD42" s="35"/>
      <c r="AE42" s="35"/>
      <c r="AF42" s="35"/>
      <c r="AG42" s="35"/>
      <c r="AH42" s="35"/>
      <c r="AI42" s="5">
        <f>COUNTIF(Таблица_посещаемость[[#This Row],[01]:[31]],"+")+COUNTIF(Таблица_посещаемость[[#This Row],[01]:[31]],"П")</f>
        <v>4</v>
      </c>
    </row>
    <row r="43" spans="1:35" x14ac:dyDescent="0.3">
      <c r="A43" s="32" t="s">
        <v>203</v>
      </c>
      <c r="B43" s="8" t="s">
        <v>61</v>
      </c>
      <c r="C43" s="8" t="s">
        <v>10</v>
      </c>
      <c r="D43" s="35"/>
      <c r="E43" s="35"/>
      <c r="F43" s="35"/>
      <c r="G43" s="35"/>
      <c r="H43" s="35"/>
      <c r="I43" s="35"/>
      <c r="J43" s="35"/>
      <c r="K43" s="35"/>
      <c r="L43" s="35" t="s">
        <v>85</v>
      </c>
      <c r="M43" s="35"/>
      <c r="N43" s="35" t="s">
        <v>85</v>
      </c>
      <c r="O43" s="35"/>
      <c r="P43" s="35"/>
      <c r="Q43" s="35"/>
      <c r="R43" s="35"/>
      <c r="S43" s="35" t="s">
        <v>85</v>
      </c>
      <c r="T43" s="35"/>
      <c r="U43" s="35"/>
      <c r="V43" s="35"/>
      <c r="W43" s="35"/>
      <c r="X43" s="35"/>
      <c r="Y43" s="35"/>
      <c r="Z43" s="35"/>
      <c r="AA43" s="35"/>
      <c r="AB43" s="35" t="s">
        <v>85</v>
      </c>
      <c r="AC43" s="35"/>
      <c r="AD43" s="35"/>
      <c r="AE43" s="35"/>
      <c r="AF43" s="35"/>
      <c r="AG43" s="35"/>
      <c r="AH43" s="35"/>
      <c r="AI43" s="5">
        <f>COUNTIF(Таблица_посещаемость[[#This Row],[01]:[31]],"+")+COUNTIF(Таблица_посещаемость[[#This Row],[01]:[31]],"П")</f>
        <v>4</v>
      </c>
    </row>
    <row r="44" spans="1:35" x14ac:dyDescent="0.3">
      <c r="A44" s="25" t="s">
        <v>204</v>
      </c>
      <c r="B44" s="8" t="s">
        <v>58</v>
      </c>
      <c r="C44" s="8" t="s">
        <v>10</v>
      </c>
      <c r="D44" s="35"/>
      <c r="E44" s="35"/>
      <c r="F44" s="35"/>
      <c r="G44" s="35"/>
      <c r="H44" s="35"/>
      <c r="I44" s="35"/>
      <c r="J44" s="35"/>
      <c r="K44" s="35"/>
      <c r="L44" s="35"/>
      <c r="M44" s="35" t="s">
        <v>85</v>
      </c>
      <c r="N44" s="35"/>
      <c r="O44" s="35"/>
      <c r="P44" s="35"/>
      <c r="Q44" s="35"/>
      <c r="R44" s="35" t="s">
        <v>85</v>
      </c>
      <c r="S44" s="35"/>
      <c r="T44" s="35" t="s">
        <v>85</v>
      </c>
      <c r="U44" s="35"/>
      <c r="V44" s="35"/>
      <c r="W44" s="35"/>
      <c r="X44" s="35"/>
      <c r="Y44" s="35" t="s">
        <v>85</v>
      </c>
      <c r="Z44" s="35"/>
      <c r="AA44" s="35" t="s">
        <v>85</v>
      </c>
      <c r="AB44" s="35"/>
      <c r="AC44" s="35"/>
      <c r="AD44" s="35"/>
      <c r="AE44" s="35"/>
      <c r="AF44" s="35"/>
      <c r="AG44" s="35"/>
      <c r="AH44" s="35"/>
      <c r="AI44" s="5">
        <f>COUNTIF(Таблица_посещаемость[[#This Row],[01]:[31]],"+")+COUNTIF(Таблица_посещаемость[[#This Row],[01]:[31]],"П")</f>
        <v>5</v>
      </c>
    </row>
    <row r="45" spans="1:35" x14ac:dyDescent="0.3">
      <c r="A45" s="25" t="s">
        <v>205</v>
      </c>
      <c r="B45" s="8" t="s">
        <v>59</v>
      </c>
      <c r="C45" s="8" t="s">
        <v>10</v>
      </c>
      <c r="D45" s="35" t="s">
        <v>145</v>
      </c>
      <c r="E45" s="35"/>
      <c r="F45" s="35"/>
      <c r="G45" s="35"/>
      <c r="H45" s="35"/>
      <c r="I45" s="35"/>
      <c r="J45" s="35"/>
      <c r="K45" s="35"/>
      <c r="L45" s="35"/>
      <c r="M45" s="35" t="s">
        <v>85</v>
      </c>
      <c r="N45" s="35"/>
      <c r="O45" s="35"/>
      <c r="P45" s="35"/>
      <c r="Q45" s="35"/>
      <c r="R45" s="35" t="s">
        <v>85</v>
      </c>
      <c r="S45" s="35"/>
      <c r="T45" s="35" t="s">
        <v>85</v>
      </c>
      <c r="U45" s="35"/>
      <c r="V45" s="35"/>
      <c r="W45" s="35"/>
      <c r="X45" s="35"/>
      <c r="Y45" s="35"/>
      <c r="Z45" s="35"/>
      <c r="AA45" s="35" t="s">
        <v>85</v>
      </c>
      <c r="AB45" s="35"/>
      <c r="AC45" s="35"/>
      <c r="AD45" s="35"/>
      <c r="AE45" s="35"/>
      <c r="AF45" s="35"/>
      <c r="AG45" s="35"/>
      <c r="AH45" s="35"/>
      <c r="AI45" s="5">
        <f>COUNTIF(Таблица_посещаемость[[#This Row],[01]:[31]],"+")+COUNTIF(Таблица_посещаемость[[#This Row],[01]:[31]],"П")</f>
        <v>5</v>
      </c>
    </row>
    <row r="46" spans="1:35" x14ac:dyDescent="0.3">
      <c r="A46" s="32" t="s">
        <v>206</v>
      </c>
      <c r="B46" s="8" t="s">
        <v>59</v>
      </c>
      <c r="C46" s="8" t="s">
        <v>10</v>
      </c>
      <c r="D46" s="35" t="s">
        <v>85</v>
      </c>
      <c r="E46" s="35"/>
      <c r="F46" s="35" t="s">
        <v>85</v>
      </c>
      <c r="G46" s="35"/>
      <c r="H46" s="35"/>
      <c r="I46" s="35"/>
      <c r="J46" s="35"/>
      <c r="K46" s="35" t="s">
        <v>85</v>
      </c>
      <c r="L46" s="35"/>
      <c r="M46" s="35" t="s">
        <v>85</v>
      </c>
      <c r="N46" s="35"/>
      <c r="O46" s="35"/>
      <c r="P46" s="35"/>
      <c r="Q46" s="35"/>
      <c r="R46" s="35" t="s">
        <v>85</v>
      </c>
      <c r="S46" s="35"/>
      <c r="T46" s="35" t="s">
        <v>85</v>
      </c>
      <c r="U46" s="35"/>
      <c r="V46" s="35"/>
      <c r="W46" s="35"/>
      <c r="X46" s="35"/>
      <c r="Y46" s="35" t="s">
        <v>85</v>
      </c>
      <c r="Z46" s="35"/>
      <c r="AA46" s="35" t="s">
        <v>85</v>
      </c>
      <c r="AB46" s="35"/>
      <c r="AC46" s="35"/>
      <c r="AD46" s="35"/>
      <c r="AE46" s="35"/>
      <c r="AF46" s="35"/>
      <c r="AG46" s="35"/>
      <c r="AH46" s="35"/>
      <c r="AI46" s="5">
        <f>COUNTIF(Таблица_посещаемость[[#This Row],[01]:[31]],"+")+COUNTIF(Таблица_посещаемость[[#This Row],[01]:[31]],"П")</f>
        <v>8</v>
      </c>
    </row>
    <row r="47" spans="1:35" x14ac:dyDescent="0.3">
      <c r="A47" s="51" t="s">
        <v>207</v>
      </c>
      <c r="B47" s="8" t="s">
        <v>68</v>
      </c>
      <c r="C47" s="8" t="s">
        <v>72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 t="s">
        <v>85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5">
        <f>COUNTIF(Таблица_посещаемость[[#This Row],[01]:[31]],"+")+COUNTIF(Таблица_посещаемость[[#This Row],[01]:[31]],"П")</f>
        <v>1</v>
      </c>
    </row>
    <row r="48" spans="1:35" x14ac:dyDescent="0.3">
      <c r="A48" s="32" t="s">
        <v>208</v>
      </c>
      <c r="B48" s="8" t="s">
        <v>57</v>
      </c>
      <c r="C48" s="8" t="s">
        <v>72</v>
      </c>
      <c r="D48" s="35"/>
      <c r="E48" s="35" t="s">
        <v>85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 t="s">
        <v>85</v>
      </c>
      <c r="T48" s="35"/>
      <c r="U48" s="35" t="s">
        <v>85</v>
      </c>
      <c r="V48" s="35"/>
      <c r="W48" s="35"/>
      <c r="X48" s="35"/>
      <c r="Y48" s="35"/>
      <c r="Z48" s="35" t="s">
        <v>85</v>
      </c>
      <c r="AA48" s="35"/>
      <c r="AB48" s="35" t="s">
        <v>85</v>
      </c>
      <c r="AC48" s="35"/>
      <c r="AD48" s="35"/>
      <c r="AE48" s="35"/>
      <c r="AF48" s="35"/>
      <c r="AG48" s="35"/>
      <c r="AH48" s="35"/>
      <c r="AI48" s="5">
        <f>COUNTIF(Таблица_посещаемость[[#This Row],[01]:[31]],"+")+COUNTIF(Таблица_посещаемость[[#This Row],[01]:[31]],"П")</f>
        <v>5</v>
      </c>
    </row>
    <row r="49" spans="1:35" x14ac:dyDescent="0.3">
      <c r="A49" s="32" t="s">
        <v>209</v>
      </c>
      <c r="B49" s="8" t="s">
        <v>57</v>
      </c>
      <c r="C49" s="8" t="s">
        <v>72</v>
      </c>
      <c r="D49" s="35"/>
      <c r="E49" s="35" t="s">
        <v>85</v>
      </c>
      <c r="F49" s="35"/>
      <c r="G49" s="35" t="s">
        <v>85</v>
      </c>
      <c r="H49" s="35"/>
      <c r="I49" s="35"/>
      <c r="J49" s="35"/>
      <c r="K49" s="35"/>
      <c r="L49" s="35" t="s">
        <v>85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 t="s">
        <v>85</v>
      </c>
      <c r="AA49" s="35"/>
      <c r="AB49" s="35" t="s">
        <v>85</v>
      </c>
      <c r="AC49" s="35"/>
      <c r="AD49" s="35"/>
      <c r="AE49" s="35"/>
      <c r="AF49" s="35"/>
      <c r="AG49" s="35"/>
      <c r="AH49" s="35"/>
      <c r="AI49" s="5">
        <f>COUNTIF(Таблица_посещаемость[[#This Row],[01]:[31]],"+")+COUNTIF(Таблица_посещаемость[[#This Row],[01]:[31]],"П")</f>
        <v>5</v>
      </c>
    </row>
    <row r="50" spans="1:35" x14ac:dyDescent="0.3">
      <c r="A50" s="32" t="s">
        <v>210</v>
      </c>
      <c r="B50" s="8" t="s">
        <v>68</v>
      </c>
      <c r="C50" s="8" t="s">
        <v>72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5">
        <f>COUNTIF(Таблица_посещаемость[[#This Row],[01]:[31]],"+")+COUNTIF(Таблица_посещаемость[[#This Row],[01]:[31]],"П")</f>
        <v>0</v>
      </c>
    </row>
    <row r="51" spans="1:35" x14ac:dyDescent="0.3">
      <c r="A51" s="32" t="s">
        <v>211</v>
      </c>
      <c r="B51" s="8" t="s">
        <v>68</v>
      </c>
      <c r="C51" s="8" t="s">
        <v>72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5">
        <f>COUNTIF(Таблица_посещаемость[[#This Row],[01]:[31]],"+")+COUNTIF(Таблица_посещаемость[[#This Row],[01]:[31]],"П")</f>
        <v>0</v>
      </c>
    </row>
    <row r="52" spans="1:35" x14ac:dyDescent="0.3">
      <c r="A52" s="25" t="s">
        <v>212</v>
      </c>
      <c r="B52" s="8" t="s">
        <v>57</v>
      </c>
      <c r="C52" s="8" t="s">
        <v>72</v>
      </c>
      <c r="D52" s="35"/>
      <c r="E52" s="35" t="s">
        <v>85</v>
      </c>
      <c r="F52" s="35"/>
      <c r="G52" s="35" t="s">
        <v>85</v>
      </c>
      <c r="H52" s="35"/>
      <c r="I52" s="35"/>
      <c r="J52" s="35"/>
      <c r="K52" s="35"/>
      <c r="L52" s="35" t="s">
        <v>85</v>
      </c>
      <c r="M52" s="35"/>
      <c r="N52" s="35" t="s">
        <v>85</v>
      </c>
      <c r="O52" s="35"/>
      <c r="P52" s="35"/>
      <c r="Q52" s="35"/>
      <c r="R52" s="35"/>
      <c r="S52" s="35" t="s">
        <v>85</v>
      </c>
      <c r="T52" s="35"/>
      <c r="U52" s="35" t="s">
        <v>85</v>
      </c>
      <c r="V52" s="35"/>
      <c r="W52" s="35"/>
      <c r="X52" s="35"/>
      <c r="Y52" s="35"/>
      <c r="Z52" s="35"/>
      <c r="AA52" s="35"/>
      <c r="AB52" s="35" t="s">
        <v>85</v>
      </c>
      <c r="AC52" s="35"/>
      <c r="AD52" s="35"/>
      <c r="AE52" s="35"/>
      <c r="AF52" s="35"/>
      <c r="AG52" s="35"/>
      <c r="AH52" s="35"/>
      <c r="AI52" s="5">
        <f>COUNTIF(Таблица_посещаемость[[#This Row],[01]:[31]],"+")+COUNTIF(Таблица_посещаемость[[#This Row],[01]:[31]],"П")</f>
        <v>7</v>
      </c>
    </row>
    <row r="53" spans="1:35" x14ac:dyDescent="0.3">
      <c r="A53" s="51" t="s">
        <v>213</v>
      </c>
      <c r="B53" s="8" t="s">
        <v>68</v>
      </c>
      <c r="C53" s="8" t="s">
        <v>72</v>
      </c>
      <c r="D53" s="35"/>
      <c r="E53" s="35"/>
      <c r="F53" s="35"/>
      <c r="G53" s="35"/>
      <c r="H53" s="35" t="s">
        <v>85</v>
      </c>
      <c r="I53" s="35"/>
      <c r="J53" s="35" t="s">
        <v>85</v>
      </c>
      <c r="K53" s="35"/>
      <c r="L53" s="35"/>
      <c r="M53" s="35"/>
      <c r="N53" s="35"/>
      <c r="O53" s="35"/>
      <c r="P53" s="35"/>
      <c r="Q53" s="35" t="s">
        <v>85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 t="s">
        <v>85</v>
      </c>
      <c r="AF53" s="35"/>
      <c r="AG53" s="35"/>
      <c r="AH53" s="35"/>
      <c r="AI53" s="5">
        <f>COUNTIF(Таблица_посещаемость[[#This Row],[01]:[31]],"+")+COUNTIF(Таблица_посещаемость[[#This Row],[01]:[31]],"П")</f>
        <v>4</v>
      </c>
    </row>
    <row r="54" spans="1:35" x14ac:dyDescent="0.3">
      <c r="A54" s="25" t="s">
        <v>214</v>
      </c>
      <c r="B54" s="8" t="s">
        <v>68</v>
      </c>
      <c r="C54" s="8" t="s">
        <v>72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5">
        <f>COUNTIF(Таблица_посещаемость[[#This Row],[01]:[31]],"+")+COUNTIF(Таблица_посещаемость[[#This Row],[01]:[31]],"П")</f>
        <v>0</v>
      </c>
    </row>
    <row r="55" spans="1:35" x14ac:dyDescent="0.3">
      <c r="A55" s="51" t="s">
        <v>215</v>
      </c>
      <c r="B55" s="8" t="s">
        <v>68</v>
      </c>
      <c r="C55" s="8" t="s">
        <v>72</v>
      </c>
      <c r="D55" s="35"/>
      <c r="E55" s="35"/>
      <c r="F55" s="35"/>
      <c r="G55" s="35"/>
      <c r="H55" s="35" t="s">
        <v>85</v>
      </c>
      <c r="I55" s="35"/>
      <c r="J55" s="35" t="s">
        <v>85</v>
      </c>
      <c r="K55" s="35"/>
      <c r="L55" s="35"/>
      <c r="M55" s="35"/>
      <c r="N55" s="35"/>
      <c r="O55" s="35"/>
      <c r="P55" s="35"/>
      <c r="Q55" s="35" t="s">
        <v>85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85</v>
      </c>
      <c r="AF55" s="35"/>
      <c r="AG55" s="35"/>
      <c r="AH55" s="35"/>
      <c r="AI55" s="5">
        <f>COUNTIF(Таблица_посещаемость[[#This Row],[01]:[31]],"+")+COUNTIF(Таблица_посещаемость[[#This Row],[01]:[31]],"П")</f>
        <v>4</v>
      </c>
    </row>
    <row r="56" spans="1:35" x14ac:dyDescent="0.3">
      <c r="A56" s="25" t="s">
        <v>216</v>
      </c>
      <c r="B56" s="8" t="s">
        <v>62</v>
      </c>
      <c r="C56" s="8" t="s">
        <v>56</v>
      </c>
      <c r="D56" s="35" t="s">
        <v>85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 t="s">
        <v>85</v>
      </c>
      <c r="S56" s="35"/>
      <c r="T56" s="35"/>
      <c r="U56" s="35"/>
      <c r="V56" s="35"/>
      <c r="W56" s="35"/>
      <c r="X56" s="35"/>
      <c r="Y56" s="35" t="s">
        <v>85</v>
      </c>
      <c r="Z56" s="35"/>
      <c r="AA56" s="35" t="s">
        <v>85</v>
      </c>
      <c r="AB56" s="35"/>
      <c r="AC56" s="35"/>
      <c r="AD56" s="35"/>
      <c r="AE56" s="35"/>
      <c r="AF56" s="35"/>
      <c r="AG56" s="35"/>
      <c r="AH56" s="35"/>
      <c r="AI56" s="5">
        <f>COUNTIF(Таблица_посещаемость[[#This Row],[01]:[31]],"+")+COUNTIF(Таблица_посещаемость[[#This Row],[01]:[31]],"П")</f>
        <v>4</v>
      </c>
    </row>
    <row r="57" spans="1:35" x14ac:dyDescent="0.3">
      <c r="A57" s="32" t="s">
        <v>217</v>
      </c>
      <c r="B57" s="8" t="s">
        <v>62</v>
      </c>
      <c r="C57" s="8" t="s">
        <v>56</v>
      </c>
      <c r="D57" s="35" t="s">
        <v>85</v>
      </c>
      <c r="E57" s="35"/>
      <c r="F57" s="35" t="s">
        <v>85</v>
      </c>
      <c r="G57" s="35"/>
      <c r="H57" s="35"/>
      <c r="I57" s="35"/>
      <c r="J57" s="35"/>
      <c r="K57" s="35" t="s">
        <v>85</v>
      </c>
      <c r="L57" s="35"/>
      <c r="M57" s="35" t="s">
        <v>85</v>
      </c>
      <c r="N57" s="35"/>
      <c r="O57" s="35"/>
      <c r="P57" s="35"/>
      <c r="Q57" s="35"/>
      <c r="R57" s="35" t="s">
        <v>85</v>
      </c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5">
        <f>COUNTIF(Таблица_посещаемость[[#This Row],[01]:[31]],"+")+COUNTIF(Таблица_посещаемость[[#This Row],[01]:[31]],"П")</f>
        <v>5</v>
      </c>
    </row>
    <row r="58" spans="1:35" x14ac:dyDescent="0.3">
      <c r="A58" s="25" t="s">
        <v>218</v>
      </c>
      <c r="B58" s="8" t="s">
        <v>62</v>
      </c>
      <c r="C58" s="8" t="s">
        <v>56</v>
      </c>
      <c r="D58" s="35" t="s">
        <v>85</v>
      </c>
      <c r="E58" s="35"/>
      <c r="F58" s="35" t="s">
        <v>85</v>
      </c>
      <c r="G58" s="35"/>
      <c r="H58" s="35"/>
      <c r="I58" s="35"/>
      <c r="J58" s="35"/>
      <c r="K58" s="35" t="s">
        <v>85</v>
      </c>
      <c r="L58" s="35"/>
      <c r="M58" s="35" t="s">
        <v>85</v>
      </c>
      <c r="N58" s="35"/>
      <c r="O58" s="35"/>
      <c r="P58" s="35"/>
      <c r="Q58" s="35"/>
      <c r="R58" s="35"/>
      <c r="S58" s="35"/>
      <c r="T58" s="35" t="s">
        <v>85</v>
      </c>
      <c r="U58" s="35"/>
      <c r="V58" s="35"/>
      <c r="W58" s="35"/>
      <c r="X58" s="35"/>
      <c r="Y58" s="35"/>
      <c r="Z58" s="35"/>
      <c r="AA58" s="35" t="s">
        <v>85</v>
      </c>
      <c r="AB58" s="35"/>
      <c r="AC58" s="35"/>
      <c r="AD58" s="35"/>
      <c r="AE58" s="35"/>
      <c r="AF58" s="35"/>
      <c r="AG58" s="35"/>
      <c r="AH58" s="35"/>
      <c r="AI58" s="5">
        <f>COUNTIF(Таблица_посещаемость[[#This Row],[01]:[31]],"+")+COUNTIF(Таблица_посещаемость[[#This Row],[01]:[31]],"П")</f>
        <v>6</v>
      </c>
    </row>
    <row r="59" spans="1:35" x14ac:dyDescent="0.3">
      <c r="A59" s="25" t="s">
        <v>219</v>
      </c>
      <c r="B59" s="8" t="s">
        <v>62</v>
      </c>
      <c r="C59" s="8" t="s">
        <v>56</v>
      </c>
      <c r="D59" s="35" t="s">
        <v>85</v>
      </c>
      <c r="E59" s="35"/>
      <c r="F59" s="35" t="s">
        <v>85</v>
      </c>
      <c r="G59" s="35"/>
      <c r="H59" s="35"/>
      <c r="I59" s="35"/>
      <c r="J59" s="35"/>
      <c r="K59" s="35" t="s">
        <v>85</v>
      </c>
      <c r="L59" s="35"/>
      <c r="M59" s="35" t="s">
        <v>85</v>
      </c>
      <c r="N59" s="35"/>
      <c r="O59" s="35"/>
      <c r="P59" s="35"/>
      <c r="Q59" s="35"/>
      <c r="R59" s="35" t="s">
        <v>85</v>
      </c>
      <c r="S59" s="35"/>
      <c r="T59" s="35" t="s">
        <v>85</v>
      </c>
      <c r="U59" s="35"/>
      <c r="V59" s="35"/>
      <c r="W59" s="35"/>
      <c r="X59" s="35"/>
      <c r="Y59" s="35" t="s">
        <v>85</v>
      </c>
      <c r="Z59" s="35"/>
      <c r="AA59" s="35" t="s">
        <v>85</v>
      </c>
      <c r="AB59" s="35"/>
      <c r="AC59" s="35"/>
      <c r="AD59" s="35"/>
      <c r="AE59" s="35"/>
      <c r="AF59" s="35"/>
      <c r="AG59" s="35"/>
      <c r="AH59" s="35"/>
      <c r="AI59" s="5">
        <f>COUNTIF(Таблица_посещаемость[[#This Row],[01]:[31]],"+")+COUNTIF(Таблица_посещаемость[[#This Row],[01]:[31]],"П")</f>
        <v>8</v>
      </c>
    </row>
    <row r="60" spans="1:35" x14ac:dyDescent="0.3">
      <c r="A60" s="25" t="s">
        <v>220</v>
      </c>
      <c r="B60" s="8" t="s">
        <v>62</v>
      </c>
      <c r="C60" s="8" t="s">
        <v>56</v>
      </c>
      <c r="D60" s="35" t="s">
        <v>85</v>
      </c>
      <c r="E60" s="35"/>
      <c r="F60" s="35" t="s">
        <v>85</v>
      </c>
      <c r="G60" s="35"/>
      <c r="H60" s="35"/>
      <c r="I60" s="35"/>
      <c r="J60" s="35"/>
      <c r="K60" s="35" t="s">
        <v>85</v>
      </c>
      <c r="L60" s="35"/>
      <c r="M60" s="35" t="s">
        <v>85</v>
      </c>
      <c r="N60" s="35"/>
      <c r="O60" s="35"/>
      <c r="P60" s="35"/>
      <c r="Q60" s="35"/>
      <c r="R60" s="35" t="s">
        <v>85</v>
      </c>
      <c r="S60" s="35"/>
      <c r="T60" s="35" t="s">
        <v>85</v>
      </c>
      <c r="U60" s="35"/>
      <c r="V60" s="35"/>
      <c r="W60" s="35"/>
      <c r="X60" s="35"/>
      <c r="Y60" s="35"/>
      <c r="Z60" s="35"/>
      <c r="AA60" s="35" t="s">
        <v>85</v>
      </c>
      <c r="AB60" s="35"/>
      <c r="AC60" s="35"/>
      <c r="AD60" s="35"/>
      <c r="AE60" s="35"/>
      <c r="AF60" s="35"/>
      <c r="AG60" s="35"/>
      <c r="AH60" s="35"/>
      <c r="AI60" s="5">
        <f>COUNTIF(Таблица_посещаемость[[#This Row],[01]:[31]],"+")+COUNTIF(Таблица_посещаемость[[#This Row],[01]:[31]],"П")</f>
        <v>7</v>
      </c>
    </row>
    <row r="61" spans="1:35" x14ac:dyDescent="0.3">
      <c r="A61" s="25" t="s">
        <v>221</v>
      </c>
      <c r="B61" s="8" t="s">
        <v>62</v>
      </c>
      <c r="C61" s="8" t="s">
        <v>56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5">
        <f>COUNTIF(Таблица_посещаемость[[#This Row],[01]:[31]],"+")+COUNTIF(Таблица_посещаемость[[#This Row],[01]:[31]],"П")</f>
        <v>0</v>
      </c>
    </row>
    <row r="62" spans="1:35" x14ac:dyDescent="0.3">
      <c r="A62" s="25" t="s">
        <v>222</v>
      </c>
      <c r="B62" s="8" t="s">
        <v>60</v>
      </c>
      <c r="C62" s="8" t="s">
        <v>56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5">
        <f>COUNTIF(Таблица_посещаемость[[#This Row],[01]:[31]],"+")+COUNTIF(Таблица_посещаемость[[#This Row],[01]:[31]],"П")</f>
        <v>0</v>
      </c>
    </row>
    <row r="63" spans="1:35" x14ac:dyDescent="0.3">
      <c r="A63" s="25" t="s">
        <v>223</v>
      </c>
      <c r="B63" s="8" t="s">
        <v>60</v>
      </c>
      <c r="C63" s="8" t="s">
        <v>56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5">
        <f>COUNTIF(Таблица_посещаемость[[#This Row],[01]:[31]],"+")+COUNTIF(Таблица_посещаемость[[#This Row],[01]:[31]],"П")</f>
        <v>0</v>
      </c>
    </row>
    <row r="64" spans="1:35" x14ac:dyDescent="0.3">
      <c r="A64" s="25" t="s">
        <v>224</v>
      </c>
      <c r="B64" s="8" t="s">
        <v>60</v>
      </c>
      <c r="C64" s="8" t="s">
        <v>56</v>
      </c>
      <c r="D64" s="35"/>
      <c r="E64" s="35"/>
      <c r="F64" s="35" t="s">
        <v>85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5">
        <f>COUNTIF(Таблица_посещаемость[[#This Row],[01]:[31]],"+")+COUNTIF(Таблица_посещаемость[[#This Row],[01]:[31]],"П")</f>
        <v>1</v>
      </c>
    </row>
    <row r="65" spans="1:35" x14ac:dyDescent="0.3">
      <c r="A65" s="51" t="s">
        <v>225</v>
      </c>
      <c r="B65" s="8" t="s">
        <v>60</v>
      </c>
      <c r="C65" s="8" t="s">
        <v>56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5">
        <f>COUNTIF(Таблица_посещаемость[[#This Row],[01]:[31]],"+")+COUNTIF(Таблица_посещаемость[[#This Row],[01]:[31]],"П")</f>
        <v>0</v>
      </c>
    </row>
    <row r="66" spans="1:35" x14ac:dyDescent="0.3">
      <c r="A66" s="51" t="s">
        <v>226</v>
      </c>
      <c r="B66" s="8" t="s">
        <v>60</v>
      </c>
      <c r="C66" s="8" t="s">
        <v>56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5">
        <f>COUNTIF(Таблица_посещаемость[[#This Row],[01]:[31]],"+")+COUNTIF(Таблица_посещаемость[[#This Row],[01]:[31]],"П")</f>
        <v>0</v>
      </c>
    </row>
    <row r="67" spans="1:35" x14ac:dyDescent="0.3">
      <c r="A67" s="32" t="s">
        <v>227</v>
      </c>
      <c r="B67" s="8" t="s">
        <v>60</v>
      </c>
      <c r="C67" s="8" t="s">
        <v>56</v>
      </c>
      <c r="D67" s="35" t="s">
        <v>85</v>
      </c>
      <c r="E67" s="35"/>
      <c r="F67" s="35" t="s">
        <v>85</v>
      </c>
      <c r="G67" s="35"/>
      <c r="H67" s="35"/>
      <c r="I67" s="35"/>
      <c r="J67" s="35"/>
      <c r="K67" s="35" t="s">
        <v>85</v>
      </c>
      <c r="L67" s="35"/>
      <c r="M67" s="35" t="s">
        <v>85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5">
        <f>COUNTIF(Таблица_посещаемость[[#This Row],[01]:[31]],"+")+COUNTIF(Таблица_посещаемость[[#This Row],[01]:[31]],"П")</f>
        <v>4</v>
      </c>
    </row>
    <row r="68" spans="1:35" x14ac:dyDescent="0.3">
      <c r="A68" s="25" t="s">
        <v>228</v>
      </c>
      <c r="B68" s="8" t="s">
        <v>71</v>
      </c>
      <c r="C68" s="8" t="s">
        <v>56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5">
        <f>COUNTIF(Таблица_посещаемость[[#This Row],[01]:[31]],"+")+COUNTIF(Таблица_посещаемость[[#This Row],[01]:[31]],"П")</f>
        <v>0</v>
      </c>
    </row>
    <row r="69" spans="1:35" x14ac:dyDescent="0.3">
      <c r="A69" s="25" t="s">
        <v>229</v>
      </c>
      <c r="B69" s="8" t="s">
        <v>63</v>
      </c>
      <c r="C69" s="8" t="s">
        <v>56</v>
      </c>
      <c r="D69" s="35"/>
      <c r="E69" s="35" t="s">
        <v>85</v>
      </c>
      <c r="F69" s="35"/>
      <c r="G69" s="35"/>
      <c r="H69" s="35"/>
      <c r="I69" s="35" t="s">
        <v>85</v>
      </c>
      <c r="J69" s="35"/>
      <c r="K69" s="35"/>
      <c r="L69" s="35" t="s">
        <v>85</v>
      </c>
      <c r="M69" s="35"/>
      <c r="N69" s="35"/>
      <c r="O69" s="35"/>
      <c r="P69" s="35" t="s">
        <v>85</v>
      </c>
      <c r="Q69" s="35"/>
      <c r="R69" s="35"/>
      <c r="S69" s="35" t="s">
        <v>85</v>
      </c>
      <c r="T69" s="35"/>
      <c r="U69" s="35"/>
      <c r="V69" s="35"/>
      <c r="W69" s="35" t="s">
        <v>85</v>
      </c>
      <c r="X69" s="35"/>
      <c r="Y69" s="35"/>
      <c r="Z69" s="35" t="s">
        <v>85</v>
      </c>
      <c r="AA69" s="35"/>
      <c r="AB69" s="35"/>
      <c r="AC69" s="35"/>
      <c r="AD69" s="35" t="s">
        <v>85</v>
      </c>
      <c r="AE69" s="35"/>
      <c r="AF69" s="35"/>
      <c r="AG69" s="35"/>
      <c r="AH69" s="35"/>
      <c r="AI69" s="5">
        <f>COUNTIF(Таблица_посещаемость[[#This Row],[01]:[31]],"+")+COUNTIF(Таблица_посещаемость[[#This Row],[01]:[31]],"П")</f>
        <v>8</v>
      </c>
    </row>
    <row r="70" spans="1:35" x14ac:dyDescent="0.3">
      <c r="A70" s="25" t="s">
        <v>230</v>
      </c>
      <c r="B70" s="8" t="s">
        <v>63</v>
      </c>
      <c r="C70" s="8" t="s">
        <v>56</v>
      </c>
      <c r="D70" s="35"/>
      <c r="E70" s="35" t="s">
        <v>85</v>
      </c>
      <c r="F70" s="35"/>
      <c r="G70" s="35"/>
      <c r="H70" s="35"/>
      <c r="I70" s="35" t="s">
        <v>85</v>
      </c>
      <c r="J70" s="35"/>
      <c r="K70" s="35"/>
      <c r="L70" s="35" t="s">
        <v>85</v>
      </c>
      <c r="M70" s="35"/>
      <c r="N70" s="35"/>
      <c r="O70" s="35"/>
      <c r="P70" s="35" t="s">
        <v>85</v>
      </c>
      <c r="Q70" s="35"/>
      <c r="R70" s="35"/>
      <c r="S70" s="35" t="s">
        <v>85</v>
      </c>
      <c r="T70" s="35"/>
      <c r="U70" s="35"/>
      <c r="V70" s="35"/>
      <c r="W70" s="35" t="s">
        <v>85</v>
      </c>
      <c r="X70" s="35"/>
      <c r="Y70" s="35"/>
      <c r="Z70" s="35" t="s">
        <v>85</v>
      </c>
      <c r="AA70" s="35"/>
      <c r="AB70" s="35"/>
      <c r="AC70" s="35"/>
      <c r="AD70" s="35" t="s">
        <v>85</v>
      </c>
      <c r="AE70" s="35"/>
      <c r="AF70" s="35"/>
      <c r="AG70" s="35"/>
      <c r="AH70" s="35"/>
      <c r="AI70" s="5">
        <f>COUNTIF(Таблица_посещаемость[[#This Row],[01]:[31]],"+")+COUNTIF(Таблица_посещаемость[[#This Row],[01]:[31]],"П")</f>
        <v>8</v>
      </c>
    </row>
    <row r="71" spans="1:35" x14ac:dyDescent="0.3">
      <c r="A71" s="51" t="s">
        <v>231</v>
      </c>
      <c r="B71" s="8" t="s">
        <v>63</v>
      </c>
      <c r="C71" s="8" t="s">
        <v>56</v>
      </c>
      <c r="D71" s="35"/>
      <c r="E71" s="35" t="s">
        <v>85</v>
      </c>
      <c r="F71" s="35"/>
      <c r="G71" s="35"/>
      <c r="H71" s="35"/>
      <c r="I71" s="35" t="s">
        <v>85</v>
      </c>
      <c r="J71" s="35"/>
      <c r="K71" s="35"/>
      <c r="L71" s="35" t="s">
        <v>85</v>
      </c>
      <c r="M71" s="35"/>
      <c r="N71" s="35"/>
      <c r="O71" s="35"/>
      <c r="P71" s="35" t="s">
        <v>85</v>
      </c>
      <c r="Q71" s="35"/>
      <c r="R71" s="35"/>
      <c r="S71" s="35" t="s">
        <v>85</v>
      </c>
      <c r="T71" s="35"/>
      <c r="U71" s="35"/>
      <c r="V71" s="35"/>
      <c r="W71" s="35" t="s">
        <v>85</v>
      </c>
      <c r="X71" s="35"/>
      <c r="Y71" s="35"/>
      <c r="Z71" s="35" t="s">
        <v>85</v>
      </c>
      <c r="AA71" s="35"/>
      <c r="AB71" s="35"/>
      <c r="AC71" s="35"/>
      <c r="AD71" s="35" t="s">
        <v>85</v>
      </c>
      <c r="AE71" s="35"/>
      <c r="AF71" s="35"/>
      <c r="AG71" s="35"/>
      <c r="AH71" s="35"/>
      <c r="AI71" s="5">
        <f>COUNTIF(Таблица_посещаемость[[#This Row],[01]:[31]],"+")+COUNTIF(Таблица_посещаемость[[#This Row],[01]:[31]],"П")</f>
        <v>8</v>
      </c>
    </row>
    <row r="72" spans="1:35" x14ac:dyDescent="0.3">
      <c r="A72" s="25" t="s">
        <v>232</v>
      </c>
      <c r="B72" s="8" t="s">
        <v>63</v>
      </c>
      <c r="C72" s="8" t="s">
        <v>56</v>
      </c>
      <c r="D72" s="35"/>
      <c r="E72" s="35" t="s">
        <v>85</v>
      </c>
      <c r="F72" s="35"/>
      <c r="G72" s="35"/>
      <c r="H72" s="35"/>
      <c r="I72" s="35" t="s">
        <v>85</v>
      </c>
      <c r="J72" s="35"/>
      <c r="K72" s="35"/>
      <c r="L72" s="35" t="s">
        <v>85</v>
      </c>
      <c r="M72" s="35"/>
      <c r="N72" s="35"/>
      <c r="O72" s="35"/>
      <c r="P72" s="35" t="s">
        <v>85</v>
      </c>
      <c r="Q72" s="35"/>
      <c r="R72" s="35"/>
      <c r="S72" s="35" t="s">
        <v>85</v>
      </c>
      <c r="T72" s="35"/>
      <c r="U72" s="35"/>
      <c r="V72" s="35"/>
      <c r="W72" s="35" t="s">
        <v>85</v>
      </c>
      <c r="X72" s="35"/>
      <c r="Y72" s="35"/>
      <c r="Z72" s="35" t="s">
        <v>85</v>
      </c>
      <c r="AA72" s="35"/>
      <c r="AB72" s="35"/>
      <c r="AC72" s="35"/>
      <c r="AD72" s="35" t="s">
        <v>85</v>
      </c>
      <c r="AE72" s="35"/>
      <c r="AF72" s="35"/>
      <c r="AG72" s="35"/>
      <c r="AH72" s="35"/>
      <c r="AI72" s="5">
        <f>COUNTIF(Таблица_посещаемость[[#This Row],[01]:[31]],"+")+COUNTIF(Таблица_посещаемость[[#This Row],[01]:[31]],"П")</f>
        <v>8</v>
      </c>
    </row>
    <row r="73" spans="1:35" x14ac:dyDescent="0.3">
      <c r="A73" s="25" t="s">
        <v>233</v>
      </c>
      <c r="B73" s="8" t="s">
        <v>63</v>
      </c>
      <c r="C73" s="8" t="s">
        <v>56</v>
      </c>
      <c r="D73" s="35"/>
      <c r="E73" s="35" t="s">
        <v>85</v>
      </c>
      <c r="F73" s="35"/>
      <c r="G73" s="35"/>
      <c r="H73" s="35"/>
      <c r="I73" s="35" t="s">
        <v>85</v>
      </c>
      <c r="J73" s="35"/>
      <c r="K73" s="35"/>
      <c r="L73" s="35"/>
      <c r="M73" s="35"/>
      <c r="N73" s="35"/>
      <c r="O73" s="35"/>
      <c r="P73" s="35"/>
      <c r="Q73" s="35"/>
      <c r="R73" s="35"/>
      <c r="S73" s="35" t="s">
        <v>85</v>
      </c>
      <c r="T73" s="35"/>
      <c r="U73" s="35"/>
      <c r="V73" s="35"/>
      <c r="W73" s="35"/>
      <c r="X73" s="35"/>
      <c r="Y73" s="35"/>
      <c r="Z73" s="35" t="s">
        <v>85</v>
      </c>
      <c r="AA73" s="35"/>
      <c r="AB73" s="35"/>
      <c r="AC73" s="35"/>
      <c r="AD73" s="35" t="s">
        <v>85</v>
      </c>
      <c r="AE73" s="35"/>
      <c r="AF73" s="35"/>
      <c r="AG73" s="35"/>
      <c r="AH73" s="35"/>
      <c r="AI73" s="5">
        <f>COUNTIF(Таблица_посещаемость[[#This Row],[01]:[31]],"+")+COUNTIF(Таблица_посещаемость[[#This Row],[01]:[31]],"П")</f>
        <v>5</v>
      </c>
    </row>
    <row r="74" spans="1:35" x14ac:dyDescent="0.3">
      <c r="A74" s="25" t="s">
        <v>234</v>
      </c>
      <c r="B74" s="8" t="s">
        <v>63</v>
      </c>
      <c r="C74" s="8" t="s">
        <v>56</v>
      </c>
      <c r="D74" s="35"/>
      <c r="E74" s="35" t="s">
        <v>85</v>
      </c>
      <c r="F74" s="35"/>
      <c r="G74" s="35"/>
      <c r="H74" s="35"/>
      <c r="I74" s="35" t="s">
        <v>85</v>
      </c>
      <c r="J74" s="35"/>
      <c r="K74" s="35"/>
      <c r="L74" s="35" t="s">
        <v>85</v>
      </c>
      <c r="M74" s="35"/>
      <c r="N74" s="35"/>
      <c r="O74" s="35"/>
      <c r="P74" s="35" t="s">
        <v>85</v>
      </c>
      <c r="Q74" s="35"/>
      <c r="R74" s="35"/>
      <c r="S74" s="35" t="s">
        <v>85</v>
      </c>
      <c r="T74" s="35"/>
      <c r="U74" s="35"/>
      <c r="V74" s="35"/>
      <c r="W74" s="35" t="s">
        <v>85</v>
      </c>
      <c r="X74" s="35"/>
      <c r="Y74" s="35"/>
      <c r="Z74" s="35" t="s">
        <v>85</v>
      </c>
      <c r="AA74" s="35"/>
      <c r="AB74" s="35"/>
      <c r="AC74" s="35"/>
      <c r="AD74" s="35" t="s">
        <v>85</v>
      </c>
      <c r="AE74" s="35"/>
      <c r="AF74" s="35"/>
      <c r="AG74" s="35"/>
      <c r="AH74" s="35"/>
      <c r="AI74" s="5">
        <f>COUNTIF(Таблица_посещаемость[[#This Row],[01]:[31]],"+")+COUNTIF(Таблица_посещаемость[[#This Row],[01]:[31]],"П")</f>
        <v>8</v>
      </c>
    </row>
    <row r="75" spans="1:35" x14ac:dyDescent="0.3">
      <c r="A75" s="25" t="s">
        <v>235</v>
      </c>
      <c r="B75" s="8" t="s">
        <v>63</v>
      </c>
      <c r="C75" s="8" t="s">
        <v>56</v>
      </c>
      <c r="D75" s="35"/>
      <c r="E75" s="35" t="s">
        <v>85</v>
      </c>
      <c r="F75" s="35"/>
      <c r="G75" s="35"/>
      <c r="H75" s="35"/>
      <c r="I75" s="35" t="s">
        <v>85</v>
      </c>
      <c r="J75" s="35"/>
      <c r="K75" s="35"/>
      <c r="L75" s="35" t="s">
        <v>85</v>
      </c>
      <c r="M75" s="35"/>
      <c r="N75" s="35"/>
      <c r="O75" s="35"/>
      <c r="P75" s="35" t="s">
        <v>85</v>
      </c>
      <c r="Q75" s="35"/>
      <c r="R75" s="35"/>
      <c r="S75" s="35" t="s">
        <v>85</v>
      </c>
      <c r="T75" s="35"/>
      <c r="U75" s="35"/>
      <c r="V75" s="35"/>
      <c r="W75" s="35" t="s">
        <v>85</v>
      </c>
      <c r="X75" s="35"/>
      <c r="Y75" s="35"/>
      <c r="Z75" s="35" t="s">
        <v>85</v>
      </c>
      <c r="AA75" s="35"/>
      <c r="AB75" s="35"/>
      <c r="AC75" s="35"/>
      <c r="AD75" s="35" t="s">
        <v>85</v>
      </c>
      <c r="AE75" s="35"/>
      <c r="AF75" s="35"/>
      <c r="AG75" s="35"/>
      <c r="AH75" s="35"/>
      <c r="AI75" s="5">
        <f>COUNTIF(Таблица_посещаемость[[#This Row],[01]:[31]],"+")+COUNTIF(Таблица_посещаемость[[#This Row],[01]:[31]],"П")</f>
        <v>8</v>
      </c>
    </row>
    <row r="76" spans="1:35" x14ac:dyDescent="0.3">
      <c r="A76" s="25" t="s">
        <v>236</v>
      </c>
      <c r="B76" s="8" t="s">
        <v>63</v>
      </c>
      <c r="C76" s="8" t="s">
        <v>56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 t="s">
        <v>145</v>
      </c>
      <c r="X76" s="35"/>
      <c r="Y76" s="35"/>
      <c r="Z76" s="35" t="s">
        <v>85</v>
      </c>
      <c r="AA76" s="35"/>
      <c r="AB76" s="35"/>
      <c r="AC76" s="35"/>
      <c r="AD76" s="35" t="s">
        <v>85</v>
      </c>
      <c r="AE76" s="35"/>
      <c r="AF76" s="35"/>
      <c r="AG76" s="35"/>
      <c r="AH76" s="35"/>
      <c r="AI76" s="5">
        <f>COUNTIF(Таблица_посещаемость[[#This Row],[01]:[31]],"+")+COUNTIF(Таблица_посещаемость[[#This Row],[01]:[31]],"П")</f>
        <v>3</v>
      </c>
    </row>
    <row r="77" spans="1:35" x14ac:dyDescent="0.3">
      <c r="A77" s="25" t="s">
        <v>237</v>
      </c>
      <c r="B77" s="8" t="s">
        <v>63</v>
      </c>
      <c r="C77" s="8" t="s">
        <v>56</v>
      </c>
      <c r="D77" s="35"/>
      <c r="E77" s="35" t="s">
        <v>85</v>
      </c>
      <c r="F77" s="35"/>
      <c r="G77" s="35"/>
      <c r="H77" s="35"/>
      <c r="I77" s="35" t="s">
        <v>85</v>
      </c>
      <c r="J77" s="35"/>
      <c r="K77" s="35"/>
      <c r="L77" s="35" t="s">
        <v>85</v>
      </c>
      <c r="M77" s="35"/>
      <c r="N77" s="35"/>
      <c r="O77" s="35"/>
      <c r="P77" s="35" t="s">
        <v>85</v>
      </c>
      <c r="Q77" s="35"/>
      <c r="R77" s="35"/>
      <c r="S77" s="35" t="s">
        <v>85</v>
      </c>
      <c r="T77" s="35"/>
      <c r="U77" s="35"/>
      <c r="V77" s="35"/>
      <c r="W77" s="35" t="s">
        <v>85</v>
      </c>
      <c r="X77" s="35"/>
      <c r="Y77" s="35"/>
      <c r="Z77" s="35" t="s">
        <v>85</v>
      </c>
      <c r="AA77" s="35"/>
      <c r="AB77" s="35"/>
      <c r="AC77" s="35"/>
      <c r="AD77" s="35" t="s">
        <v>85</v>
      </c>
      <c r="AE77" s="35"/>
      <c r="AF77" s="35"/>
      <c r="AG77" s="35"/>
      <c r="AH77" s="35"/>
      <c r="AI77" s="5">
        <f>COUNTIF(Таблица_посещаемость[[#This Row],[01]:[31]],"+")+COUNTIF(Таблица_посещаемость[[#This Row],[01]:[31]],"П")</f>
        <v>8</v>
      </c>
    </row>
    <row r="78" spans="1:35" x14ac:dyDescent="0.3">
      <c r="A78" s="32" t="s">
        <v>238</v>
      </c>
      <c r="B78" s="8" t="s">
        <v>63</v>
      </c>
      <c r="C78" s="8" t="s">
        <v>56</v>
      </c>
      <c r="D78" s="35"/>
      <c r="E78" s="35" t="s">
        <v>85</v>
      </c>
      <c r="F78" s="35"/>
      <c r="G78" s="35"/>
      <c r="H78" s="35"/>
      <c r="I78" s="35" t="s">
        <v>85</v>
      </c>
      <c r="J78" s="35"/>
      <c r="K78" s="35"/>
      <c r="L78" s="35" t="s">
        <v>85</v>
      </c>
      <c r="M78" s="35"/>
      <c r="N78" s="35"/>
      <c r="O78" s="35"/>
      <c r="P78" s="35" t="s">
        <v>85</v>
      </c>
      <c r="Q78" s="35"/>
      <c r="R78" s="35"/>
      <c r="S78" s="35" t="s">
        <v>85</v>
      </c>
      <c r="T78" s="35"/>
      <c r="U78" s="35"/>
      <c r="V78" s="35"/>
      <c r="W78" s="35" t="s">
        <v>85</v>
      </c>
      <c r="X78" s="35"/>
      <c r="Y78" s="35"/>
      <c r="Z78" s="35" t="s">
        <v>85</v>
      </c>
      <c r="AA78" s="35"/>
      <c r="AB78" s="35"/>
      <c r="AC78" s="35"/>
      <c r="AD78" s="35" t="s">
        <v>85</v>
      </c>
      <c r="AE78" s="35"/>
      <c r="AF78" s="35"/>
      <c r="AG78" s="35"/>
      <c r="AH78" s="35"/>
      <c r="AI78" s="5">
        <f>COUNTIF(Таблица_посещаемость[[#This Row],[01]:[31]],"+")+COUNTIF(Таблица_посещаемость[[#This Row],[01]:[31]],"П")</f>
        <v>8</v>
      </c>
    </row>
    <row r="79" spans="1:35" x14ac:dyDescent="0.3">
      <c r="A79" s="32" t="s">
        <v>239</v>
      </c>
      <c r="B79" s="8" t="s">
        <v>64</v>
      </c>
      <c r="C79" s="8" t="s">
        <v>56</v>
      </c>
      <c r="D79" s="35" t="s">
        <v>145</v>
      </c>
      <c r="E79" s="40"/>
      <c r="F79" s="35" t="s">
        <v>85</v>
      </c>
      <c r="G79" s="40"/>
      <c r="H79" s="40"/>
      <c r="I79" s="40"/>
      <c r="J79" s="40"/>
      <c r="K79" s="35" t="s">
        <v>85</v>
      </c>
      <c r="L79" s="40"/>
      <c r="M79" s="35" t="s">
        <v>85</v>
      </c>
      <c r="N79" s="40"/>
      <c r="O79" s="40"/>
      <c r="P79" s="40"/>
      <c r="Q79" s="40"/>
      <c r="R79" s="35" t="s">
        <v>85</v>
      </c>
      <c r="S79" s="40"/>
      <c r="T79" s="35" t="s">
        <v>85</v>
      </c>
      <c r="U79" s="40"/>
      <c r="V79" s="40"/>
      <c r="W79" s="40"/>
      <c r="X79" s="40"/>
      <c r="Y79" s="35" t="s">
        <v>85</v>
      </c>
      <c r="Z79" s="40"/>
      <c r="AA79" s="35" t="s">
        <v>85</v>
      </c>
      <c r="AB79" s="40"/>
      <c r="AC79" s="40"/>
      <c r="AD79" s="40"/>
      <c r="AE79" s="40"/>
      <c r="AF79" s="40"/>
      <c r="AG79" s="40"/>
      <c r="AH79" s="40"/>
      <c r="AI79" s="5">
        <f>COUNTIF(Таблица_посещаемость[[#This Row],[01]:[31]],"+")+COUNTIF(Таблица_посещаемость[[#This Row],[01]:[31]],"П")</f>
        <v>8</v>
      </c>
    </row>
    <row r="80" spans="1:35" x14ac:dyDescent="0.3">
      <c r="A80" s="25" t="s">
        <v>240</v>
      </c>
      <c r="B80" s="8" t="s">
        <v>64</v>
      </c>
      <c r="C80" s="8" t="s">
        <v>56</v>
      </c>
      <c r="D80" s="35" t="s">
        <v>85</v>
      </c>
      <c r="E80" s="35"/>
      <c r="F80" s="35" t="s">
        <v>85</v>
      </c>
      <c r="G80" s="35"/>
      <c r="H80" s="35"/>
      <c r="I80" s="35"/>
      <c r="J80" s="35"/>
      <c r="K80" s="35" t="s">
        <v>85</v>
      </c>
      <c r="L80" s="35"/>
      <c r="M80" s="35" t="s">
        <v>85</v>
      </c>
      <c r="N80" s="35"/>
      <c r="O80" s="35"/>
      <c r="P80" s="35"/>
      <c r="Q80" s="35"/>
      <c r="R80" s="35" t="s">
        <v>85</v>
      </c>
      <c r="S80" s="35"/>
      <c r="T80" s="35" t="s">
        <v>85</v>
      </c>
      <c r="U80" s="35"/>
      <c r="V80" s="35"/>
      <c r="W80" s="35"/>
      <c r="X80" s="35"/>
      <c r="Y80" s="35" t="s">
        <v>85</v>
      </c>
      <c r="Z80" s="35"/>
      <c r="AA80" s="35" t="s">
        <v>85</v>
      </c>
      <c r="AB80" s="35"/>
      <c r="AC80" s="35"/>
      <c r="AD80" s="35"/>
      <c r="AE80" s="35"/>
      <c r="AF80" s="35"/>
      <c r="AG80" s="35"/>
      <c r="AH80" s="35"/>
      <c r="AI80" s="5">
        <f>COUNTIF(Таблица_посещаемость[[#This Row],[01]:[31]],"+")+COUNTIF(Таблица_посещаемость[[#This Row],[01]:[31]],"П")</f>
        <v>8</v>
      </c>
    </row>
    <row r="81" spans="1:35" x14ac:dyDescent="0.3">
      <c r="A81" s="32" t="s">
        <v>241</v>
      </c>
      <c r="B81" s="8" t="s">
        <v>64</v>
      </c>
      <c r="C81" s="8" t="s">
        <v>56</v>
      </c>
      <c r="D81" s="35"/>
      <c r="E81" s="35"/>
      <c r="F81" s="35" t="s">
        <v>85</v>
      </c>
      <c r="G81" s="35"/>
      <c r="H81" s="35"/>
      <c r="I81" s="35"/>
      <c r="J81" s="35"/>
      <c r="K81" s="35" t="s">
        <v>85</v>
      </c>
      <c r="L81" s="35"/>
      <c r="M81" s="35" t="s">
        <v>85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 t="s">
        <v>85</v>
      </c>
      <c r="AB81" s="35"/>
      <c r="AC81" s="35"/>
      <c r="AD81" s="35"/>
      <c r="AE81" s="35"/>
      <c r="AF81" s="35"/>
      <c r="AG81" s="35"/>
      <c r="AH81" s="35"/>
      <c r="AI81" s="5">
        <f>COUNTIF(Таблица_посещаемость[[#This Row],[01]:[31]],"+")+COUNTIF(Таблица_посещаемость[[#This Row],[01]:[31]],"П")</f>
        <v>4</v>
      </c>
    </row>
    <row r="82" spans="1:35" x14ac:dyDescent="0.3">
      <c r="A82" s="32" t="s">
        <v>242</v>
      </c>
      <c r="B82" s="8" t="s">
        <v>64</v>
      </c>
      <c r="C82" s="8" t="s">
        <v>56</v>
      </c>
      <c r="D82" s="35" t="s">
        <v>85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 t="s">
        <v>85</v>
      </c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5">
        <f>COUNTIF(Таблица_посещаемость[[#This Row],[01]:[31]],"+")+COUNTIF(Таблица_посещаемость[[#This Row],[01]:[31]],"П")</f>
        <v>2</v>
      </c>
    </row>
    <row r="83" spans="1:35" x14ac:dyDescent="0.3">
      <c r="A83" s="32" t="s">
        <v>243</v>
      </c>
      <c r="B83" s="8" t="s">
        <v>64</v>
      </c>
      <c r="C83" s="8" t="s">
        <v>56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5">
        <f>COUNTIF(Таблица_посещаемость[[#This Row],[01]:[31]],"+")+COUNTIF(Таблица_посещаемость[[#This Row],[01]:[31]],"П")</f>
        <v>0</v>
      </c>
    </row>
    <row r="84" spans="1:35" x14ac:dyDescent="0.3">
      <c r="A84" s="25" t="s">
        <v>244</v>
      </c>
      <c r="B84" s="8" t="s">
        <v>64</v>
      </c>
      <c r="C84" s="8" t="s">
        <v>56</v>
      </c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5">
        <f>COUNTIF(Таблица_посещаемость[[#This Row],[01]:[31]],"+")+COUNTIF(Таблица_посещаемость[[#This Row],[01]:[31]],"П")</f>
        <v>0</v>
      </c>
    </row>
    <row r="85" spans="1:35" x14ac:dyDescent="0.3">
      <c r="A85" s="32" t="s">
        <v>245</v>
      </c>
      <c r="B85" s="8" t="s">
        <v>64</v>
      </c>
      <c r="C85" s="8" t="s">
        <v>56</v>
      </c>
      <c r="D85" s="35" t="s">
        <v>85</v>
      </c>
      <c r="E85" s="35"/>
      <c r="F85" s="35"/>
      <c r="G85" s="35"/>
      <c r="H85" s="35"/>
      <c r="I85" s="35"/>
      <c r="J85" s="35"/>
      <c r="K85" s="35" t="s">
        <v>85</v>
      </c>
      <c r="L85" s="35"/>
      <c r="M85" s="35"/>
      <c r="N85" s="35"/>
      <c r="O85" s="35"/>
      <c r="P85" s="35"/>
      <c r="Q85" s="35"/>
      <c r="R85" s="35" t="s">
        <v>85</v>
      </c>
      <c r="S85" s="35"/>
      <c r="T85" s="35"/>
      <c r="U85" s="35"/>
      <c r="V85" s="35"/>
      <c r="W85" s="35"/>
      <c r="X85" s="35"/>
      <c r="Y85" s="35" t="s">
        <v>85</v>
      </c>
      <c r="Z85" s="35"/>
      <c r="AA85" s="35"/>
      <c r="AB85" s="35"/>
      <c r="AC85" s="35"/>
      <c r="AD85" s="35"/>
      <c r="AE85" s="35"/>
      <c r="AF85" s="35"/>
      <c r="AG85" s="35"/>
      <c r="AH85" s="35"/>
      <c r="AI85" s="5">
        <f>COUNTIF(Таблица_посещаемость[[#This Row],[01]:[31]],"+")+COUNTIF(Таблица_посещаемость[[#This Row],[01]:[31]],"П")</f>
        <v>4</v>
      </c>
    </row>
    <row r="86" spans="1:35" x14ac:dyDescent="0.3">
      <c r="A86" s="32" t="s">
        <v>246</v>
      </c>
      <c r="B86" s="8" t="s">
        <v>64</v>
      </c>
      <c r="C86" s="8" t="s">
        <v>56</v>
      </c>
      <c r="D86" s="35" t="s">
        <v>85</v>
      </c>
      <c r="E86" s="35"/>
      <c r="F86" s="35" t="s">
        <v>85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5">
        <f>COUNTIF(Таблица_посещаемость[[#This Row],[01]:[31]],"+")+COUNTIF(Таблица_посещаемость[[#This Row],[01]:[31]],"П")</f>
        <v>2</v>
      </c>
    </row>
    <row r="87" spans="1:35" x14ac:dyDescent="0.3">
      <c r="A87" s="33" t="s">
        <v>247</v>
      </c>
      <c r="B87" s="8" t="s">
        <v>64</v>
      </c>
      <c r="C87" s="8" t="s">
        <v>56</v>
      </c>
      <c r="D87" s="35"/>
      <c r="E87" s="35"/>
      <c r="F87" s="35" t="s">
        <v>85</v>
      </c>
      <c r="G87" s="35"/>
      <c r="H87" s="35"/>
      <c r="I87" s="35"/>
      <c r="J87" s="35"/>
      <c r="K87" s="35" t="s">
        <v>85</v>
      </c>
      <c r="L87" s="35"/>
      <c r="M87" s="35" t="s">
        <v>85</v>
      </c>
      <c r="N87" s="35"/>
      <c r="O87" s="35"/>
      <c r="P87" s="35"/>
      <c r="Q87" s="35"/>
      <c r="R87" s="35" t="s">
        <v>85</v>
      </c>
      <c r="S87" s="35"/>
      <c r="T87" s="35" t="s">
        <v>85</v>
      </c>
      <c r="U87" s="35"/>
      <c r="V87" s="35"/>
      <c r="W87" s="35"/>
      <c r="X87" s="35"/>
      <c r="Y87" s="35" t="s">
        <v>85</v>
      </c>
      <c r="Z87" s="35"/>
      <c r="AA87" s="35" t="s">
        <v>85</v>
      </c>
      <c r="AB87" s="35"/>
      <c r="AC87" s="35"/>
      <c r="AD87" s="35"/>
      <c r="AE87" s="35"/>
      <c r="AF87" s="35"/>
      <c r="AG87" s="35"/>
      <c r="AH87" s="35"/>
      <c r="AI87" s="5">
        <f>COUNTIF(Таблица_посещаемость[[#This Row],[01]:[31]],"+")+COUNTIF(Таблица_посещаемость[[#This Row],[01]:[31]],"П")</f>
        <v>7</v>
      </c>
    </row>
    <row r="88" spans="1:35" x14ac:dyDescent="0.3">
      <c r="A88" s="32" t="s">
        <v>248</v>
      </c>
      <c r="B88" s="8" t="s">
        <v>64</v>
      </c>
      <c r="C88" s="8" t="s">
        <v>56</v>
      </c>
      <c r="D88" s="35" t="s">
        <v>85</v>
      </c>
      <c r="E88" s="35"/>
      <c r="F88" s="35" t="s">
        <v>85</v>
      </c>
      <c r="G88" s="35"/>
      <c r="H88" s="35"/>
      <c r="I88" s="35"/>
      <c r="J88" s="35"/>
      <c r="K88" s="35" t="s">
        <v>85</v>
      </c>
      <c r="L88" s="35"/>
      <c r="M88" s="35" t="s">
        <v>85</v>
      </c>
      <c r="N88" s="35"/>
      <c r="O88" s="35"/>
      <c r="P88" s="35"/>
      <c r="Q88" s="35"/>
      <c r="R88" s="35"/>
      <c r="S88" s="35"/>
      <c r="T88" s="35" t="s">
        <v>85</v>
      </c>
      <c r="U88" s="35"/>
      <c r="V88" s="35"/>
      <c r="W88" s="35"/>
      <c r="X88" s="35"/>
      <c r="Y88" s="35" t="s">
        <v>85</v>
      </c>
      <c r="Z88" s="35"/>
      <c r="AA88" s="35" t="s">
        <v>85</v>
      </c>
      <c r="AB88" s="35"/>
      <c r="AC88" s="35"/>
      <c r="AD88" s="35"/>
      <c r="AE88" s="35"/>
      <c r="AF88" s="35"/>
      <c r="AG88" s="35"/>
      <c r="AH88" s="35"/>
      <c r="AI88" s="5">
        <f>COUNTIF(Таблица_посещаемость[[#This Row],[01]:[31]],"+")+COUNTIF(Таблица_посещаемость[[#This Row],[01]:[31]],"П")</f>
        <v>7</v>
      </c>
    </row>
    <row r="89" spans="1:35" x14ac:dyDescent="0.3">
      <c r="A89" s="32" t="s">
        <v>249</v>
      </c>
      <c r="B89" s="8" t="s">
        <v>64</v>
      </c>
      <c r="C89" s="8" t="s">
        <v>56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5">
        <f>COUNTIF(Таблица_посещаемость[[#This Row],[01]:[31]],"+")+COUNTIF(Таблица_посещаемость[[#This Row],[01]:[31]],"П")</f>
        <v>0</v>
      </c>
    </row>
    <row r="90" spans="1:35" x14ac:dyDescent="0.3">
      <c r="A90" s="32" t="s">
        <v>250</v>
      </c>
      <c r="B90" s="8" t="s">
        <v>64</v>
      </c>
      <c r="C90" s="8" t="s">
        <v>56</v>
      </c>
      <c r="D90" s="35" t="s">
        <v>85</v>
      </c>
      <c r="E90" s="35"/>
      <c r="F90" s="35" t="s">
        <v>85</v>
      </c>
      <c r="G90" s="35"/>
      <c r="H90" s="35"/>
      <c r="I90" s="35"/>
      <c r="J90" s="35"/>
      <c r="K90" s="35"/>
      <c r="L90" s="35"/>
      <c r="M90" s="35" t="s">
        <v>85</v>
      </c>
      <c r="N90" s="35"/>
      <c r="O90" s="35"/>
      <c r="P90" s="35"/>
      <c r="Q90" s="35"/>
      <c r="R90" s="35" t="s">
        <v>85</v>
      </c>
      <c r="S90" s="35"/>
      <c r="T90" s="35" t="s">
        <v>85</v>
      </c>
      <c r="U90" s="35"/>
      <c r="V90" s="35"/>
      <c r="W90" s="35"/>
      <c r="X90" s="35"/>
      <c r="Y90" s="35" t="s">
        <v>85</v>
      </c>
      <c r="Z90" s="35"/>
      <c r="AA90" s="35" t="s">
        <v>85</v>
      </c>
      <c r="AB90" s="35"/>
      <c r="AC90" s="35"/>
      <c r="AD90" s="35"/>
      <c r="AE90" s="35"/>
      <c r="AF90" s="35"/>
      <c r="AG90" s="35"/>
      <c r="AH90" s="35"/>
      <c r="AI90" s="5">
        <f>COUNTIF(Таблица_посещаемость[[#This Row],[01]:[31]],"+")+COUNTIF(Таблица_посещаемость[[#This Row],[01]:[31]],"П")</f>
        <v>7</v>
      </c>
    </row>
    <row r="91" spans="1:35" x14ac:dyDescent="0.3">
      <c r="A91" s="25" t="s">
        <v>251</v>
      </c>
      <c r="B91" s="8" t="s">
        <v>64</v>
      </c>
      <c r="C91" s="8" t="s">
        <v>56</v>
      </c>
      <c r="D91" s="35" t="s">
        <v>85</v>
      </c>
      <c r="E91" s="35"/>
      <c r="F91" s="35" t="s">
        <v>85</v>
      </c>
      <c r="G91" s="35"/>
      <c r="H91" s="35"/>
      <c r="I91" s="35"/>
      <c r="J91" s="35"/>
      <c r="K91" s="35"/>
      <c r="L91" s="35"/>
      <c r="M91" s="35" t="s">
        <v>85</v>
      </c>
      <c r="N91" s="35"/>
      <c r="O91" s="35"/>
      <c r="P91" s="35"/>
      <c r="Q91" s="35"/>
      <c r="R91" s="35" t="s">
        <v>85</v>
      </c>
      <c r="S91" s="35"/>
      <c r="T91" s="35" t="s">
        <v>85</v>
      </c>
      <c r="U91" s="35"/>
      <c r="V91" s="35"/>
      <c r="W91" s="35"/>
      <c r="X91" s="35"/>
      <c r="Y91" s="35" t="s">
        <v>85</v>
      </c>
      <c r="Z91" s="35"/>
      <c r="AA91" s="35" t="s">
        <v>85</v>
      </c>
      <c r="AB91" s="35"/>
      <c r="AC91" s="35"/>
      <c r="AD91" s="35"/>
      <c r="AE91" s="35"/>
      <c r="AF91" s="35"/>
      <c r="AG91" s="35"/>
      <c r="AH91" s="35"/>
      <c r="AI91" s="5">
        <f>COUNTIF(Таблица_посещаемость[[#This Row],[01]:[31]],"+")+COUNTIF(Таблица_посещаемость[[#This Row],[01]:[31]],"П")</f>
        <v>7</v>
      </c>
    </row>
    <row r="92" spans="1:35" x14ac:dyDescent="0.3">
      <c r="A92" s="32" t="s">
        <v>252</v>
      </c>
      <c r="B92" s="8" t="s">
        <v>79</v>
      </c>
      <c r="C92" s="8" t="s">
        <v>56</v>
      </c>
      <c r="D92" s="40" t="s">
        <v>85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 t="s">
        <v>85</v>
      </c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5">
        <f>COUNTIF(Таблица_посещаемость[[#This Row],[01]:[31]],"+")+COUNTIF(Таблица_посещаемость[[#This Row],[01]:[31]],"П")</f>
        <v>2</v>
      </c>
    </row>
    <row r="93" spans="1:35" x14ac:dyDescent="0.3">
      <c r="A93" s="51" t="s">
        <v>253</v>
      </c>
      <c r="B93" s="8" t="s">
        <v>66</v>
      </c>
      <c r="C93" s="8" t="s">
        <v>56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5">
        <f>COUNTIF(Таблица_посещаемость[[#This Row],[01]:[31]],"+")+COUNTIF(Таблица_посещаемость[[#This Row],[01]:[31]],"П")</f>
        <v>0</v>
      </c>
    </row>
    <row r="94" spans="1:35" x14ac:dyDescent="0.3">
      <c r="A94" s="32" t="s">
        <v>254</v>
      </c>
      <c r="B94" s="8" t="s">
        <v>66</v>
      </c>
      <c r="C94" s="8" t="s">
        <v>56</v>
      </c>
      <c r="D94" s="35"/>
      <c r="E94" s="35"/>
      <c r="F94" s="35"/>
      <c r="G94" s="35"/>
      <c r="H94" s="35"/>
      <c r="I94" s="35"/>
      <c r="J94" s="35"/>
      <c r="K94" s="35"/>
      <c r="L94" s="35"/>
      <c r="M94" s="35" t="s">
        <v>145</v>
      </c>
      <c r="N94" s="35"/>
      <c r="O94" s="35"/>
      <c r="P94" s="35" t="s">
        <v>85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5">
        <f>COUNTIF(Таблица_посещаемость[[#This Row],[01]:[31]],"+")+COUNTIF(Таблица_посещаемость[[#This Row],[01]:[31]],"П")</f>
        <v>2</v>
      </c>
    </row>
    <row r="95" spans="1:35" x14ac:dyDescent="0.3">
      <c r="A95" s="25" t="s">
        <v>255</v>
      </c>
      <c r="B95" s="8" t="s">
        <v>66</v>
      </c>
      <c r="C95" s="8" t="s">
        <v>56</v>
      </c>
      <c r="D95" s="35"/>
      <c r="E95" s="35"/>
      <c r="F95" s="35" t="s">
        <v>85</v>
      </c>
      <c r="G95" s="35"/>
      <c r="H95" s="35"/>
      <c r="I95" s="35" t="s">
        <v>85</v>
      </c>
      <c r="J95" s="35"/>
      <c r="K95" s="35"/>
      <c r="L95" s="35"/>
      <c r="M95" s="35" t="s">
        <v>85</v>
      </c>
      <c r="N95" s="35"/>
      <c r="O95" s="35"/>
      <c r="P95" s="35"/>
      <c r="Q95" s="35"/>
      <c r="R95" s="35"/>
      <c r="S95" s="35"/>
      <c r="T95" s="35" t="s">
        <v>85</v>
      </c>
      <c r="U95" s="35"/>
      <c r="V95" s="35"/>
      <c r="W95" s="35" t="s">
        <v>85</v>
      </c>
      <c r="X95" s="35"/>
      <c r="Y95" s="35"/>
      <c r="Z95" s="35"/>
      <c r="AA95" s="35" t="s">
        <v>85</v>
      </c>
      <c r="AB95" s="35"/>
      <c r="AC95" s="35"/>
      <c r="AD95" s="35" t="s">
        <v>85</v>
      </c>
      <c r="AE95" s="35"/>
      <c r="AF95" s="35"/>
      <c r="AG95" s="35"/>
      <c r="AH95" s="35"/>
      <c r="AI95" s="5">
        <f>COUNTIF(Таблица_посещаемость[[#This Row],[01]:[31]],"+")+COUNTIF(Таблица_посещаемость[[#This Row],[01]:[31]],"П")</f>
        <v>7</v>
      </c>
    </row>
    <row r="96" spans="1:35" x14ac:dyDescent="0.3">
      <c r="A96" s="32" t="s">
        <v>256</v>
      </c>
      <c r="B96" s="8" t="s">
        <v>66</v>
      </c>
      <c r="C96" s="8" t="s">
        <v>56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5">
        <f>COUNTIF(Таблица_посещаемость[[#This Row],[01]:[31]],"+")+COUNTIF(Таблица_посещаемость[[#This Row],[01]:[31]],"П")</f>
        <v>0</v>
      </c>
    </row>
    <row r="97" spans="1:35" x14ac:dyDescent="0.3">
      <c r="A97" s="32" t="s">
        <v>257</v>
      </c>
      <c r="B97" s="8" t="s">
        <v>66</v>
      </c>
      <c r="C97" s="8" t="s">
        <v>56</v>
      </c>
      <c r="D97" s="35"/>
      <c r="E97" s="35"/>
      <c r="F97" s="35" t="s">
        <v>85</v>
      </c>
      <c r="G97" s="35"/>
      <c r="H97" s="35"/>
      <c r="I97" s="35" t="s">
        <v>85</v>
      </c>
      <c r="J97" s="35"/>
      <c r="K97" s="35"/>
      <c r="L97" s="35"/>
      <c r="M97" s="35" t="s">
        <v>85</v>
      </c>
      <c r="N97" s="35"/>
      <c r="O97" s="35"/>
      <c r="P97" s="35" t="s">
        <v>85</v>
      </c>
      <c r="Q97" s="35"/>
      <c r="R97" s="35"/>
      <c r="S97" s="35"/>
      <c r="T97" s="35" t="s">
        <v>85</v>
      </c>
      <c r="U97" s="35"/>
      <c r="V97" s="35"/>
      <c r="W97" s="35"/>
      <c r="X97" s="35"/>
      <c r="Y97" s="35"/>
      <c r="Z97" s="35"/>
      <c r="AA97" s="35"/>
      <c r="AB97" s="35"/>
      <c r="AC97" s="35"/>
      <c r="AD97" s="35" t="s">
        <v>85</v>
      </c>
      <c r="AE97" s="35"/>
      <c r="AF97" s="35"/>
      <c r="AG97" s="35"/>
      <c r="AH97" s="35"/>
      <c r="AI97" s="5">
        <f>COUNTIF(Таблица_посещаемость[[#This Row],[01]:[31]],"+")+COUNTIF(Таблица_посещаемость[[#This Row],[01]:[31]],"П")</f>
        <v>6</v>
      </c>
    </row>
    <row r="98" spans="1:35" x14ac:dyDescent="0.3">
      <c r="A98" s="25" t="s">
        <v>258</v>
      </c>
      <c r="B98" s="8" t="s">
        <v>66</v>
      </c>
      <c r="C98" s="8" t="s">
        <v>56</v>
      </c>
      <c r="D98" s="35"/>
      <c r="E98" s="35"/>
      <c r="F98" s="35" t="s">
        <v>85</v>
      </c>
      <c r="G98" s="35"/>
      <c r="H98" s="35"/>
      <c r="I98" s="35" t="s">
        <v>85</v>
      </c>
      <c r="J98" s="35"/>
      <c r="K98" s="35"/>
      <c r="L98" s="35"/>
      <c r="M98" s="35" t="s">
        <v>85</v>
      </c>
      <c r="N98" s="35"/>
      <c r="O98" s="35"/>
      <c r="P98" s="35" t="s">
        <v>85</v>
      </c>
      <c r="Q98" s="35"/>
      <c r="R98" s="35"/>
      <c r="S98" s="35"/>
      <c r="T98" s="35" t="s">
        <v>85</v>
      </c>
      <c r="U98" s="35"/>
      <c r="V98" s="35"/>
      <c r="W98" s="35" t="s">
        <v>85</v>
      </c>
      <c r="X98" s="35"/>
      <c r="Y98" s="35"/>
      <c r="Z98" s="35"/>
      <c r="AA98" s="35" t="s">
        <v>85</v>
      </c>
      <c r="AB98" s="35"/>
      <c r="AC98" s="35"/>
      <c r="AD98" s="35" t="s">
        <v>85</v>
      </c>
      <c r="AE98" s="35"/>
      <c r="AF98" s="35"/>
      <c r="AG98" s="35"/>
      <c r="AH98" s="35"/>
      <c r="AI98" s="5">
        <f>COUNTIF(Таблица_посещаемость[[#This Row],[01]:[31]],"+")+COUNTIF(Таблица_посещаемость[[#This Row],[01]:[31]],"П")</f>
        <v>8</v>
      </c>
    </row>
    <row r="99" spans="1:35" x14ac:dyDescent="0.3">
      <c r="A99" s="32" t="s">
        <v>259</v>
      </c>
      <c r="B99" s="8" t="s">
        <v>66</v>
      </c>
      <c r="C99" s="8" t="s">
        <v>56</v>
      </c>
      <c r="D99" s="35"/>
      <c r="E99" s="35"/>
      <c r="F99" s="35" t="s">
        <v>85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 t="s">
        <v>85</v>
      </c>
      <c r="U99" s="35"/>
      <c r="V99" s="35"/>
      <c r="W99" s="35" t="s">
        <v>85</v>
      </c>
      <c r="X99" s="35"/>
      <c r="Y99" s="35"/>
      <c r="Z99" s="35"/>
      <c r="AA99" s="35" t="s">
        <v>85</v>
      </c>
      <c r="AB99" s="35"/>
      <c r="AC99" s="35"/>
      <c r="AD99" s="35"/>
      <c r="AE99" s="35"/>
      <c r="AF99" s="35"/>
      <c r="AG99" s="35"/>
      <c r="AH99" s="35"/>
      <c r="AI99" s="5">
        <f>COUNTIF(Таблица_посещаемость[[#This Row],[01]:[31]],"+")+COUNTIF(Таблица_посещаемость[[#This Row],[01]:[31]],"П")</f>
        <v>4</v>
      </c>
    </row>
    <row r="100" spans="1:35" x14ac:dyDescent="0.3">
      <c r="A100" s="32" t="s">
        <v>260</v>
      </c>
      <c r="B100" s="8" t="s">
        <v>66</v>
      </c>
      <c r="C100" s="8" t="s">
        <v>56</v>
      </c>
      <c r="D100" s="40"/>
      <c r="E100" s="40"/>
      <c r="F100" s="35" t="s">
        <v>85</v>
      </c>
      <c r="G100" s="40"/>
      <c r="H100" s="40"/>
      <c r="I100" s="35" t="s">
        <v>85</v>
      </c>
      <c r="J100" s="40"/>
      <c r="K100" s="40"/>
      <c r="L100" s="40"/>
      <c r="M100" s="35" t="s">
        <v>85</v>
      </c>
      <c r="N100" s="40"/>
      <c r="O100" s="40"/>
      <c r="P100" s="35" t="s">
        <v>85</v>
      </c>
      <c r="Q100" s="40"/>
      <c r="R100" s="40"/>
      <c r="S100" s="40"/>
      <c r="T100" s="35" t="s">
        <v>85</v>
      </c>
      <c r="U100" s="40"/>
      <c r="V100" s="40"/>
      <c r="W100" s="35" t="s">
        <v>85</v>
      </c>
      <c r="X100" s="40"/>
      <c r="Y100" s="40"/>
      <c r="Z100" s="40"/>
      <c r="AA100" s="35" t="s">
        <v>85</v>
      </c>
      <c r="AB100" s="40"/>
      <c r="AC100" s="40"/>
      <c r="AD100" s="40"/>
      <c r="AE100" s="40"/>
      <c r="AF100" s="40"/>
      <c r="AG100" s="40"/>
      <c r="AH100" s="40"/>
      <c r="AI100" s="5">
        <f>COUNTIF(Таблица_посещаемость[[#This Row],[01]:[31]],"+")+COUNTIF(Таблица_посещаемость[[#This Row],[01]:[31]],"П")</f>
        <v>7</v>
      </c>
    </row>
    <row r="101" spans="1:35" x14ac:dyDescent="0.3">
      <c r="A101" s="25" t="s">
        <v>261</v>
      </c>
      <c r="B101" s="8" t="s">
        <v>66</v>
      </c>
      <c r="C101" s="8" t="s">
        <v>56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5">
        <f>COUNTIF(Таблица_посещаемость[[#This Row],[01]:[31]],"+")+COUNTIF(Таблица_посещаемость[[#This Row],[01]:[31]],"П")</f>
        <v>0</v>
      </c>
    </row>
    <row r="102" spans="1:35" x14ac:dyDescent="0.3">
      <c r="A102" s="25" t="s">
        <v>262</v>
      </c>
      <c r="B102" s="8" t="s">
        <v>66</v>
      </c>
      <c r="C102" s="8" t="s">
        <v>56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5">
        <f>COUNTIF(Таблица_посещаемость[[#This Row],[01]:[31]],"+")+COUNTIF(Таблица_посещаемость[[#This Row],[01]:[31]],"П")</f>
        <v>0</v>
      </c>
    </row>
    <row r="103" spans="1:35" x14ac:dyDescent="0.3">
      <c r="A103" s="25" t="s">
        <v>263</v>
      </c>
      <c r="B103" s="8" t="s">
        <v>66</v>
      </c>
      <c r="C103" s="8" t="s">
        <v>56</v>
      </c>
      <c r="D103" s="35"/>
      <c r="E103" s="35"/>
      <c r="F103" s="35" t="s">
        <v>85</v>
      </c>
      <c r="G103" s="35"/>
      <c r="H103" s="35"/>
      <c r="I103" s="35" t="s">
        <v>85</v>
      </c>
      <c r="J103" s="35"/>
      <c r="K103" s="35"/>
      <c r="L103" s="35"/>
      <c r="M103" s="35" t="s">
        <v>85</v>
      </c>
      <c r="N103" s="35"/>
      <c r="O103" s="35"/>
      <c r="P103" s="35" t="s">
        <v>85</v>
      </c>
      <c r="Q103" s="35"/>
      <c r="R103" s="35"/>
      <c r="S103" s="35"/>
      <c r="T103" s="35" t="s">
        <v>85</v>
      </c>
      <c r="U103" s="35"/>
      <c r="V103" s="35"/>
      <c r="W103" s="35" t="s">
        <v>85</v>
      </c>
      <c r="X103" s="35"/>
      <c r="Y103" s="35"/>
      <c r="Z103" s="35"/>
      <c r="AA103" s="35" t="s">
        <v>85</v>
      </c>
      <c r="AB103" s="35"/>
      <c r="AC103" s="35"/>
      <c r="AD103" s="35" t="s">
        <v>85</v>
      </c>
      <c r="AE103" s="35"/>
      <c r="AF103" s="35"/>
      <c r="AG103" s="35"/>
      <c r="AH103" s="35"/>
      <c r="AI103" s="5">
        <f>COUNTIF(Таблица_посещаемость[[#This Row],[01]:[31]],"+")+COUNTIF(Таблица_посещаемость[[#This Row],[01]:[31]],"П")</f>
        <v>8</v>
      </c>
    </row>
    <row r="104" spans="1:35" x14ac:dyDescent="0.3">
      <c r="A104" s="25" t="s">
        <v>264</v>
      </c>
      <c r="B104" s="8" t="s">
        <v>65</v>
      </c>
      <c r="C104" s="8" t="s">
        <v>56</v>
      </c>
      <c r="D104" s="35" t="s">
        <v>85</v>
      </c>
      <c r="E104" s="35"/>
      <c r="F104" s="35" t="s">
        <v>85</v>
      </c>
      <c r="G104" s="35"/>
      <c r="H104" s="35"/>
      <c r="I104" s="35"/>
      <c r="J104" s="35"/>
      <c r="K104" s="35" t="s">
        <v>85</v>
      </c>
      <c r="L104" s="35"/>
      <c r="M104" s="35" t="s">
        <v>85</v>
      </c>
      <c r="N104" s="35"/>
      <c r="O104" s="35"/>
      <c r="P104" s="35"/>
      <c r="Q104" s="35"/>
      <c r="R104" s="35" t="s">
        <v>85</v>
      </c>
      <c r="S104" s="35"/>
      <c r="T104" s="35" t="s">
        <v>85</v>
      </c>
      <c r="U104" s="35"/>
      <c r="V104" s="35"/>
      <c r="W104" s="35"/>
      <c r="X104" s="35"/>
      <c r="Y104" s="35" t="s">
        <v>85</v>
      </c>
      <c r="Z104" s="35"/>
      <c r="AA104" s="35" t="s">
        <v>85</v>
      </c>
      <c r="AB104" s="35"/>
      <c r="AC104" s="35"/>
      <c r="AD104" s="35"/>
      <c r="AE104" s="35"/>
      <c r="AF104" s="35"/>
      <c r="AG104" s="35"/>
      <c r="AH104" s="35"/>
      <c r="AI104" s="5">
        <f>COUNTIF(Таблица_посещаемость[[#This Row],[01]:[31]],"+")+COUNTIF(Таблица_посещаемость[[#This Row],[01]:[31]],"П")</f>
        <v>8</v>
      </c>
    </row>
    <row r="105" spans="1:35" x14ac:dyDescent="0.3">
      <c r="A105" s="32" t="s">
        <v>265</v>
      </c>
      <c r="B105" s="8" t="s">
        <v>65</v>
      </c>
      <c r="C105" s="8" t="s">
        <v>56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5">
        <f>COUNTIF(Таблица_посещаемость[[#This Row],[01]:[31]],"+")+COUNTIF(Таблица_посещаемость[[#This Row],[01]:[31]],"П")</f>
        <v>0</v>
      </c>
    </row>
    <row r="106" spans="1:35" x14ac:dyDescent="0.3">
      <c r="A106" s="25" t="s">
        <v>266</v>
      </c>
      <c r="B106" s="8" t="s">
        <v>65</v>
      </c>
      <c r="C106" s="8" t="s">
        <v>56</v>
      </c>
      <c r="D106" s="35" t="s">
        <v>85</v>
      </c>
      <c r="E106" s="35"/>
      <c r="F106" s="35" t="s">
        <v>85</v>
      </c>
      <c r="G106" s="35"/>
      <c r="H106" s="35"/>
      <c r="I106" s="35"/>
      <c r="J106" s="35"/>
      <c r="K106" s="35" t="s">
        <v>85</v>
      </c>
      <c r="L106" s="35"/>
      <c r="M106" s="35" t="s">
        <v>85</v>
      </c>
      <c r="N106" s="35"/>
      <c r="O106" s="35"/>
      <c r="P106" s="35"/>
      <c r="Q106" s="35"/>
      <c r="R106" s="35" t="s">
        <v>85</v>
      </c>
      <c r="S106" s="35"/>
      <c r="T106" s="35" t="s">
        <v>85</v>
      </c>
      <c r="U106" s="35"/>
      <c r="V106" s="35"/>
      <c r="W106" s="35"/>
      <c r="X106" s="35"/>
      <c r="Y106" s="35"/>
      <c r="Z106" s="35"/>
      <c r="AA106" s="35" t="s">
        <v>85</v>
      </c>
      <c r="AB106" s="35"/>
      <c r="AC106" s="35"/>
      <c r="AD106" s="35"/>
      <c r="AE106" s="35"/>
      <c r="AF106" s="35"/>
      <c r="AG106" s="35"/>
      <c r="AH106" s="35"/>
      <c r="AI106" s="5">
        <f>COUNTIF(Таблица_посещаемость[[#This Row],[01]:[31]],"+")+COUNTIF(Таблица_посещаемость[[#This Row],[01]:[31]],"П")</f>
        <v>7</v>
      </c>
    </row>
    <row r="107" spans="1:35" x14ac:dyDescent="0.3">
      <c r="A107" s="32" t="s">
        <v>267</v>
      </c>
      <c r="B107" s="8" t="s">
        <v>65</v>
      </c>
      <c r="C107" s="8" t="s">
        <v>56</v>
      </c>
      <c r="D107" s="35" t="s">
        <v>85</v>
      </c>
      <c r="E107" s="35"/>
      <c r="F107" s="35"/>
      <c r="G107" s="35"/>
      <c r="H107" s="35"/>
      <c r="I107" s="35"/>
      <c r="J107" s="35"/>
      <c r="K107" s="35" t="s">
        <v>85</v>
      </c>
      <c r="L107" s="35"/>
      <c r="M107" s="35"/>
      <c r="N107" s="35"/>
      <c r="O107" s="35"/>
      <c r="P107" s="35"/>
      <c r="Q107" s="35"/>
      <c r="R107" s="35" t="s">
        <v>85</v>
      </c>
      <c r="S107" s="35"/>
      <c r="T107" s="35"/>
      <c r="U107" s="35"/>
      <c r="V107" s="35"/>
      <c r="W107" s="35"/>
      <c r="X107" s="35"/>
      <c r="Y107" s="35" t="s">
        <v>85</v>
      </c>
      <c r="Z107" s="35"/>
      <c r="AA107" s="35"/>
      <c r="AB107" s="35"/>
      <c r="AC107" s="35"/>
      <c r="AD107" s="35"/>
      <c r="AE107" s="35"/>
      <c r="AF107" s="35"/>
      <c r="AG107" s="35"/>
      <c r="AH107" s="35"/>
      <c r="AI107" s="5">
        <f>COUNTIF(Таблица_посещаемость[[#This Row],[01]:[31]],"+")+COUNTIF(Таблица_посещаемость[[#This Row],[01]:[31]],"П")</f>
        <v>4</v>
      </c>
    </row>
    <row r="108" spans="1:35" x14ac:dyDescent="0.3">
      <c r="A108" s="32" t="s">
        <v>268</v>
      </c>
      <c r="B108" s="8" t="s">
        <v>65</v>
      </c>
      <c r="C108" s="8" t="s">
        <v>56</v>
      </c>
      <c r="D108" s="35" t="s">
        <v>85</v>
      </c>
      <c r="E108" s="35"/>
      <c r="F108" s="35" t="s">
        <v>85</v>
      </c>
      <c r="G108" s="35"/>
      <c r="H108" s="35"/>
      <c r="I108" s="35"/>
      <c r="J108" s="35"/>
      <c r="K108" s="35"/>
      <c r="L108" s="35" t="s">
        <v>85</v>
      </c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 t="s">
        <v>85</v>
      </c>
      <c r="Z108" s="35"/>
      <c r="AA108" s="35" t="s">
        <v>85</v>
      </c>
      <c r="AB108" s="35"/>
      <c r="AC108" s="35"/>
      <c r="AD108" s="35"/>
      <c r="AE108" s="35"/>
      <c r="AF108" s="35"/>
      <c r="AG108" s="35"/>
      <c r="AH108" s="35"/>
      <c r="AI108" s="5">
        <f>COUNTIF(Таблица_посещаемость[[#This Row],[01]:[31]],"+")+COUNTIF(Таблица_посещаемость[[#This Row],[01]:[31]],"П")</f>
        <v>5</v>
      </c>
    </row>
    <row r="109" spans="1:35" x14ac:dyDescent="0.3">
      <c r="A109" s="32" t="s">
        <v>269</v>
      </c>
      <c r="B109" s="8" t="s">
        <v>58</v>
      </c>
      <c r="C109" s="8" t="s">
        <v>10</v>
      </c>
      <c r="D109" s="40" t="s">
        <v>145</v>
      </c>
      <c r="E109" s="40"/>
      <c r="F109" s="35" t="s">
        <v>85</v>
      </c>
      <c r="G109" s="40"/>
      <c r="H109" s="40"/>
      <c r="I109" s="40"/>
      <c r="J109" s="40"/>
      <c r="K109" s="35" t="s">
        <v>85</v>
      </c>
      <c r="L109" s="40"/>
      <c r="M109" s="35" t="s">
        <v>85</v>
      </c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5">
        <f>COUNTIF(Таблица_посещаемость[[#This Row],[01]:[31]],"+")+COUNTIF(Таблица_посещаемость[[#This Row],[01]:[31]],"П")</f>
        <v>4</v>
      </c>
    </row>
    <row r="110" spans="1:35" x14ac:dyDescent="0.3">
      <c r="A110" s="25" t="s">
        <v>270</v>
      </c>
      <c r="B110" s="8" t="s">
        <v>58</v>
      </c>
      <c r="C110" s="8" t="s">
        <v>10</v>
      </c>
      <c r="D110" s="40"/>
      <c r="E110" s="40"/>
      <c r="F110" s="40"/>
      <c r="G110" s="40"/>
      <c r="H110" s="40"/>
      <c r="I110" s="40"/>
      <c r="J110" s="40"/>
      <c r="K110" s="35" t="s">
        <v>85</v>
      </c>
      <c r="L110" s="40"/>
      <c r="M110" s="35" t="s">
        <v>85</v>
      </c>
      <c r="N110" s="40"/>
      <c r="O110" s="40"/>
      <c r="P110" s="40"/>
      <c r="Q110" s="40"/>
      <c r="R110" s="35" t="s">
        <v>85</v>
      </c>
      <c r="S110" s="40"/>
      <c r="T110" s="35"/>
      <c r="U110" s="40"/>
      <c r="V110" s="40"/>
      <c r="W110" s="40"/>
      <c r="X110" s="40"/>
      <c r="Y110" s="35" t="s">
        <v>85</v>
      </c>
      <c r="Z110" s="40"/>
      <c r="AA110" s="35" t="s">
        <v>85</v>
      </c>
      <c r="AB110" s="40"/>
      <c r="AC110" s="40"/>
      <c r="AD110" s="40"/>
      <c r="AE110" s="40"/>
      <c r="AF110" s="40"/>
      <c r="AG110" s="40"/>
      <c r="AH110" s="40"/>
      <c r="AI110" s="5">
        <f>COUNTIF(Таблица_посещаемость[[#This Row],[01]:[31]],"+")+COUNTIF(Таблица_посещаемость[[#This Row],[01]:[31]],"П")</f>
        <v>5</v>
      </c>
    </row>
    <row r="111" spans="1:35" x14ac:dyDescent="0.3">
      <c r="A111" s="32" t="s">
        <v>271</v>
      </c>
      <c r="B111" s="8" t="s">
        <v>65</v>
      </c>
      <c r="C111" s="8" t="s">
        <v>56</v>
      </c>
      <c r="D111" s="35" t="s">
        <v>145</v>
      </c>
      <c r="E111" s="40"/>
      <c r="F111" s="40"/>
      <c r="G111" s="40"/>
      <c r="H111" s="40"/>
      <c r="I111" s="40"/>
      <c r="J111" s="40"/>
      <c r="K111" s="40"/>
      <c r="L111" s="40"/>
      <c r="M111" s="35" t="s">
        <v>85</v>
      </c>
      <c r="N111" s="40"/>
      <c r="O111" s="40"/>
      <c r="P111" s="40"/>
      <c r="Q111" s="40"/>
      <c r="R111" s="40"/>
      <c r="S111" s="40"/>
      <c r="T111" s="35" t="s">
        <v>85</v>
      </c>
      <c r="U111" s="40"/>
      <c r="V111" s="40"/>
      <c r="W111" s="40"/>
      <c r="X111" s="40"/>
      <c r="Y111" s="35" t="s">
        <v>85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5">
        <f>COUNTIF(Таблица_посещаемость[[#This Row],[01]:[31]],"+")+COUNTIF(Таблица_посещаемость[[#This Row],[01]:[31]],"П")</f>
        <v>4</v>
      </c>
    </row>
    <row r="112" spans="1:35" x14ac:dyDescent="0.3">
      <c r="A112" s="8" t="s">
        <v>14</v>
      </c>
      <c r="B112" s="1"/>
      <c r="D112" s="10">
        <f>COUNTA(Таблица_посещаемость[01])</f>
        <v>35</v>
      </c>
      <c r="E112" s="10">
        <f>COUNTA(Таблица_посещаемость[02])</f>
        <v>22</v>
      </c>
      <c r="F112" s="10">
        <f>COUNTA(Таблица_посещаемость[03])</f>
        <v>38</v>
      </c>
      <c r="G112" s="10">
        <f>COUNTA(Таблица_посещаемость[04])</f>
        <v>13</v>
      </c>
      <c r="H112" s="10">
        <f>COUNTA(Таблица_посещаемость[05])</f>
        <v>4</v>
      </c>
      <c r="I112" s="10">
        <f>COUNTA(Таблица_посещаемость[06])</f>
        <v>14</v>
      </c>
      <c r="J112" s="10">
        <f>COUNTA(Таблица_посещаемость[07])</f>
        <v>2</v>
      </c>
      <c r="K112" s="10">
        <f>COUNTA(Таблица_посещаемость[08])</f>
        <v>31</v>
      </c>
      <c r="L112" s="10">
        <f>COUNTA(Таблица_посещаемость[09])</f>
        <v>18</v>
      </c>
      <c r="M112" s="10">
        <f>COUNTA(Таблица_посещаемость[10])</f>
        <v>39</v>
      </c>
      <c r="N112" s="10">
        <f>COUNTA(Таблица_посещаемость[11])</f>
        <v>6</v>
      </c>
      <c r="O112" s="10">
        <f>COUNTA(Таблица_посещаемость[12])</f>
        <v>2</v>
      </c>
      <c r="P112" s="10">
        <f>COUNTA(Таблица_посещаемость[13])</f>
        <v>13</v>
      </c>
      <c r="Q112" s="10">
        <f>COUNTA(Таблица_посещаемость[14])</f>
        <v>3</v>
      </c>
      <c r="R112" s="10">
        <f>COUNTA(Таблица_посещаемость[15])</f>
        <v>28</v>
      </c>
      <c r="S112" s="10">
        <f>COUNTA(Таблица_посещаемость[16])</f>
        <v>19</v>
      </c>
      <c r="T112" s="10">
        <f>COUNTA(Таблица_посещаемость[17])</f>
        <v>32</v>
      </c>
      <c r="U112" s="10">
        <f>COUNTA(Таблица_посещаемость[18])</f>
        <v>8</v>
      </c>
      <c r="V112" s="10">
        <f>COUNTA(Таблица_посещаемость[19])</f>
        <v>3</v>
      </c>
      <c r="W112" s="10">
        <f>COUNTA(Таблица_посещаемость[20])</f>
        <v>14</v>
      </c>
      <c r="X112" s="10">
        <f>COUNTA(Таблица_посещаемость[21])</f>
        <v>0</v>
      </c>
      <c r="Y112" s="10">
        <f>COUNTA(Таблица_посещаемость[22])</f>
        <v>23</v>
      </c>
      <c r="Z112" s="10">
        <f>COUNTA(Таблица_посещаемость[23])</f>
        <v>17</v>
      </c>
      <c r="AA112" s="10">
        <f>COUNTA(Таблица_посещаемость[24])</f>
        <v>40</v>
      </c>
      <c r="AB112" s="10">
        <f>COUNTA(Таблица_посещаемость[25])</f>
        <v>11</v>
      </c>
      <c r="AC112" s="10">
        <f>COUNTA(Таблица_посещаемость[26])</f>
        <v>2</v>
      </c>
      <c r="AD112" s="10">
        <f>COUNTA(Таблица_посещаемость[27])</f>
        <v>14</v>
      </c>
      <c r="AE112" s="10">
        <f>COUNTA(Таблица_посещаемость[28])</f>
        <v>2</v>
      </c>
      <c r="AF112" s="10">
        <f>COUNTA(Таблица_посещаемость[29])</f>
        <v>0</v>
      </c>
      <c r="AG112" s="10">
        <f>COUNTA(Таблица_посещаемость[30])</f>
        <v>0</v>
      </c>
      <c r="AH112" s="10">
        <f>COUNTA(Таблица_посещаемость[31])</f>
        <v>0</v>
      </c>
      <c r="AI112" s="106">
        <f>SUM(Таблица_посещаемость[Всего])</f>
        <v>453</v>
      </c>
    </row>
    <row r="113" spans="2:35" x14ac:dyDescent="0.3">
      <c r="B113" s="1"/>
      <c r="AI113" s="36"/>
    </row>
    <row r="114" spans="2:35" x14ac:dyDescent="0.3">
      <c r="B114" s="1"/>
      <c r="AI114" s="36"/>
    </row>
    <row r="116" spans="2:35" x14ac:dyDescent="0.3">
      <c r="B116" s="8" t="s">
        <v>1</v>
      </c>
      <c r="C116" s="8" t="s">
        <v>74</v>
      </c>
      <c r="D116" s="11" t="s">
        <v>22</v>
      </c>
      <c r="E116" s="11" t="s">
        <v>23</v>
      </c>
      <c r="F116" s="11" t="s">
        <v>24</v>
      </c>
      <c r="G116" s="11" t="s">
        <v>25</v>
      </c>
      <c r="H116" s="11" t="s">
        <v>26</v>
      </c>
      <c r="I116" s="11" t="s">
        <v>27</v>
      </c>
      <c r="J116" s="11" t="s">
        <v>28</v>
      </c>
      <c r="K116" s="11" t="s">
        <v>29</v>
      </c>
      <c r="L116" s="11" t="s">
        <v>30</v>
      </c>
      <c r="M116" s="11" t="s">
        <v>31</v>
      </c>
      <c r="N116" s="11" t="s">
        <v>32</v>
      </c>
      <c r="O116" s="11" t="s">
        <v>33</v>
      </c>
      <c r="P116" s="11" t="s">
        <v>34</v>
      </c>
      <c r="Q116" s="11" t="s">
        <v>35</v>
      </c>
      <c r="R116" s="11" t="s">
        <v>36</v>
      </c>
      <c r="S116" s="11" t="s">
        <v>37</v>
      </c>
      <c r="T116" s="11" t="s">
        <v>38</v>
      </c>
      <c r="U116" s="11" t="s">
        <v>39</v>
      </c>
      <c r="V116" s="11" t="s">
        <v>40</v>
      </c>
      <c r="W116" s="11" t="s">
        <v>41</v>
      </c>
      <c r="X116" s="11" t="s">
        <v>42</v>
      </c>
      <c r="Y116" s="11" t="s">
        <v>43</v>
      </c>
      <c r="Z116" s="11" t="s">
        <v>44</v>
      </c>
      <c r="AA116" s="11" t="s">
        <v>45</v>
      </c>
      <c r="AB116" s="11" t="s">
        <v>46</v>
      </c>
      <c r="AC116" s="11" t="s">
        <v>47</v>
      </c>
      <c r="AD116" s="11" t="s">
        <v>48</v>
      </c>
      <c r="AE116" s="11" t="s">
        <v>49</v>
      </c>
      <c r="AF116" s="11" t="s">
        <v>50</v>
      </c>
      <c r="AG116" s="11" t="s">
        <v>51</v>
      </c>
      <c r="AH116" s="11" t="s">
        <v>52</v>
      </c>
      <c r="AI116" s="6" t="s">
        <v>0</v>
      </c>
    </row>
    <row r="117" spans="2:35" x14ac:dyDescent="0.3">
      <c r="B117" s="1">
        <f>ROW()-ROW(Администратор_посещаемость[[#Headers],[№ п.п.]])</f>
        <v>1</v>
      </c>
      <c r="C117" s="8" t="s">
        <v>76</v>
      </c>
      <c r="D117" s="9" t="s">
        <v>85</v>
      </c>
      <c r="E117" s="9" t="s">
        <v>85</v>
      </c>
      <c r="F117" s="9" t="s">
        <v>85</v>
      </c>
      <c r="G117" s="9" t="s">
        <v>85</v>
      </c>
      <c r="H117" s="9" t="s">
        <v>85</v>
      </c>
      <c r="I117" s="9" t="s">
        <v>85</v>
      </c>
      <c r="J117" s="9" t="s">
        <v>85</v>
      </c>
      <c r="K117" s="9" t="s">
        <v>85</v>
      </c>
      <c r="L117" s="9" t="s">
        <v>85</v>
      </c>
      <c r="M117" s="9" t="s">
        <v>85</v>
      </c>
      <c r="N117" s="9" t="s">
        <v>85</v>
      </c>
      <c r="O117" s="9" t="s">
        <v>85</v>
      </c>
      <c r="P117" s="9" t="s">
        <v>85</v>
      </c>
      <c r="Q117" s="9" t="s">
        <v>85</v>
      </c>
      <c r="R117" s="9" t="s">
        <v>85</v>
      </c>
      <c r="S117" s="9" t="s">
        <v>85</v>
      </c>
      <c r="T117" s="9" t="s">
        <v>85</v>
      </c>
      <c r="U117" s="9" t="s">
        <v>85</v>
      </c>
      <c r="V117" s="9" t="s">
        <v>85</v>
      </c>
      <c r="W117" s="9" t="s">
        <v>85</v>
      </c>
      <c r="X117" s="9" t="s">
        <v>85</v>
      </c>
      <c r="Y117" s="9" t="s">
        <v>85</v>
      </c>
      <c r="Z117" s="9" t="s">
        <v>85</v>
      </c>
      <c r="AA117" s="9" t="s">
        <v>85</v>
      </c>
      <c r="AB117" s="9" t="s">
        <v>85</v>
      </c>
      <c r="AC117" s="9"/>
      <c r="AD117" s="9" t="s">
        <v>85</v>
      </c>
      <c r="AE117" s="9" t="s">
        <v>85</v>
      </c>
      <c r="AF117" s="9"/>
      <c r="AG117" s="9"/>
      <c r="AH117" s="9"/>
      <c r="AI117" s="6">
        <f>COUNTIF(Администратор_посещаемость[[#This Row],[01]:[31]],"+")*700</f>
        <v>18900</v>
      </c>
    </row>
    <row r="118" spans="2:35" x14ac:dyDescent="0.3">
      <c r="B118" s="1">
        <f>ROW()-ROW(Администратор_посещаемость[[#Headers],[№ п.п.]])</f>
        <v>2</v>
      </c>
      <c r="C118" s="8" t="s">
        <v>10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 t="s">
        <v>85</v>
      </c>
      <c r="AD118" s="9"/>
      <c r="AE118" s="9"/>
      <c r="AF118" s="9"/>
      <c r="AG118" s="9"/>
      <c r="AH118" s="9"/>
      <c r="AI118" s="6">
        <f>COUNTIF(Администратор_посещаемость[[#This Row],[01]:[31]],"+")*700</f>
        <v>700</v>
      </c>
    </row>
  </sheetData>
  <sheetProtection sort="0" autoFilter="0"/>
  <conditionalFormatting sqref="D112:AH114">
    <cfRule type="cellIs" dxfId="88" priority="1" operator="greaterThan">
      <formula>8</formula>
    </cfRule>
  </conditionalFormatting>
  <dataValidations count="5">
    <dataValidation type="list" allowBlank="1" showInputMessage="1" showErrorMessage="1" sqref="D117:AH118" xr:uid="{00000000-0002-0000-0800-000000000000}">
      <formula1>"+"</formula1>
    </dataValidation>
    <dataValidation type="list" allowBlank="1" showInputMessage="1" showErrorMessage="1" sqref="C117:C118" xr:uid="{00000000-0002-0000-0800-000001000000}">
      <formula1>Администратор_наименования</formula1>
    </dataValidation>
    <dataValidation type="list" allowBlank="1" showInputMessage="1" showErrorMessage="1" sqref="C2:C111" xr:uid="{179C9BFF-D859-4C92-B85A-AD3DA4785C23}">
      <formula1>Хореограф_наименования</formula1>
    </dataValidation>
    <dataValidation type="list" allowBlank="1" showInputMessage="1" showErrorMessage="1" sqref="B2:B111" xr:uid="{86601762-556F-42A2-B786-20B5AB39BD33}">
      <formula1>Группы_наименования</formula1>
    </dataValidation>
    <dataValidation type="list" allowBlank="1" showInputMessage="1" showErrorMessage="1" sqref="D2:AH111" xr:uid="{00000000-0002-0000-0800-000004000000}">
      <formula1>"+,П"</formula1>
    </dataValidation>
  </dataValidations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D15"/>
  <sheetViews>
    <sheetView workbookViewId="0">
      <selection activeCell="A15" sqref="A15"/>
    </sheetView>
  </sheetViews>
  <sheetFormatPr defaultRowHeight="14.4" x14ac:dyDescent="0.3"/>
  <cols>
    <col min="1" max="1" width="10" customWidth="1"/>
    <col min="2" max="2" width="14.77734375" bestFit="1" customWidth="1"/>
    <col min="3" max="3" width="18" bestFit="1" customWidth="1"/>
    <col min="4" max="4" width="10.77734375" bestFit="1" customWidth="1"/>
    <col min="7" max="7" width="13.21875" customWidth="1"/>
    <col min="8" max="8" width="17.77734375" customWidth="1"/>
    <col min="9" max="9" width="10.77734375" customWidth="1"/>
  </cols>
  <sheetData>
    <row r="1" spans="1:4" x14ac:dyDescent="0.3">
      <c r="A1" t="s">
        <v>70</v>
      </c>
      <c r="B1" t="s">
        <v>9</v>
      </c>
      <c r="C1" t="s">
        <v>74</v>
      </c>
      <c r="D1" t="s">
        <v>75</v>
      </c>
    </row>
    <row r="2" spans="1:4" x14ac:dyDescent="0.3">
      <c r="A2" t="s">
        <v>57</v>
      </c>
      <c r="B2" t="s">
        <v>10</v>
      </c>
      <c r="C2" t="s">
        <v>76</v>
      </c>
      <c r="D2" t="s">
        <v>55</v>
      </c>
    </row>
    <row r="3" spans="1:4" x14ac:dyDescent="0.3">
      <c r="A3" t="s">
        <v>58</v>
      </c>
      <c r="B3" t="s">
        <v>56</v>
      </c>
      <c r="C3" t="s">
        <v>10</v>
      </c>
      <c r="D3" t="s">
        <v>54</v>
      </c>
    </row>
    <row r="4" spans="1:4" x14ac:dyDescent="0.3">
      <c r="A4" t="s">
        <v>59</v>
      </c>
      <c r="B4" t="s">
        <v>72</v>
      </c>
    </row>
    <row r="5" spans="1:4" x14ac:dyDescent="0.3">
      <c r="A5" t="s">
        <v>60</v>
      </c>
    </row>
    <row r="6" spans="1:4" x14ac:dyDescent="0.3">
      <c r="A6" t="s">
        <v>61</v>
      </c>
    </row>
    <row r="7" spans="1:4" x14ac:dyDescent="0.3">
      <c r="A7" t="s">
        <v>62</v>
      </c>
    </row>
    <row r="8" spans="1:4" x14ac:dyDescent="0.3">
      <c r="A8" t="s">
        <v>63</v>
      </c>
    </row>
    <row r="9" spans="1:4" x14ac:dyDescent="0.3">
      <c r="A9" t="s">
        <v>64</v>
      </c>
    </row>
    <row r="10" spans="1:4" x14ac:dyDescent="0.3">
      <c r="A10" t="s">
        <v>65</v>
      </c>
    </row>
    <row r="11" spans="1:4" x14ac:dyDescent="0.3">
      <c r="A11" t="s">
        <v>66</v>
      </c>
    </row>
    <row r="12" spans="1:4" x14ac:dyDescent="0.3">
      <c r="A12" t="s">
        <v>67</v>
      </c>
    </row>
    <row r="13" spans="1:4" x14ac:dyDescent="0.3">
      <c r="A13" t="s">
        <v>68</v>
      </c>
    </row>
    <row r="14" spans="1:4" x14ac:dyDescent="0.3">
      <c r="A14" t="s">
        <v>71</v>
      </c>
    </row>
    <row r="15" spans="1:4" x14ac:dyDescent="0.3">
      <c r="A15" s="39" t="s">
        <v>79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75C-FF95-4796-A6ED-450BDC32FD3B}">
  <dimension ref="A1:Q14"/>
  <sheetViews>
    <sheetView topLeftCell="G1" workbookViewId="0">
      <selection activeCell="T7" sqref="T7"/>
    </sheetView>
  </sheetViews>
  <sheetFormatPr defaultColWidth="8.77734375" defaultRowHeight="14.4" x14ac:dyDescent="0.3"/>
  <cols>
    <col min="1" max="1" width="10.21875" style="52" bestFit="1" customWidth="1"/>
    <col min="2" max="2" width="7.77734375" style="52" bestFit="1" customWidth="1"/>
    <col min="3" max="3" width="14.77734375" style="52" bestFit="1" customWidth="1"/>
    <col min="4" max="4" width="15" style="52" bestFit="1" customWidth="1"/>
    <col min="5" max="5" width="18.21875" style="52" bestFit="1" customWidth="1"/>
    <col min="6" max="6" width="10.5546875" style="52" bestFit="1" customWidth="1"/>
    <col min="7" max="8" width="7.77734375" style="52" bestFit="1" customWidth="1"/>
    <col min="9" max="9" width="14.21875" style="52" bestFit="1" customWidth="1"/>
    <col min="10" max="10" width="15" style="52" bestFit="1" customWidth="1"/>
    <col min="11" max="11" width="18.21875" style="52" bestFit="1" customWidth="1"/>
    <col min="12" max="12" width="10.5546875" style="52" bestFit="1" customWidth="1"/>
    <col min="13" max="13" width="8.77734375" style="52"/>
    <col min="14" max="14" width="24.44140625" style="52" bestFit="1" customWidth="1"/>
    <col min="15" max="15" width="12.5546875" style="52" customWidth="1"/>
    <col min="16" max="16" width="18.21875" style="52" bestFit="1" customWidth="1"/>
    <col min="17" max="17" width="10.5546875" style="52" bestFit="1" customWidth="1"/>
    <col min="18" max="16384" width="8.77734375" style="52"/>
  </cols>
  <sheetData>
    <row r="1" spans="1:17" x14ac:dyDescent="0.3">
      <c r="B1" s="103" t="s">
        <v>87</v>
      </c>
      <c r="C1" s="103"/>
      <c r="D1" s="103"/>
      <c r="E1" s="103"/>
      <c r="F1" s="103"/>
      <c r="H1" s="103" t="s">
        <v>88</v>
      </c>
      <c r="I1" s="103"/>
      <c r="J1" s="103"/>
      <c r="K1" s="103"/>
      <c r="L1" s="103"/>
      <c r="N1" s="103" t="s">
        <v>89</v>
      </c>
      <c r="O1" s="103"/>
      <c r="P1" s="103"/>
      <c r="Q1" s="103"/>
    </row>
    <row r="2" spans="1:17" x14ac:dyDescent="0.3">
      <c r="A2" s="53">
        <v>44243</v>
      </c>
      <c r="B2" s="104">
        <f>$A$2</f>
        <v>44243</v>
      </c>
      <c r="C2" s="104"/>
      <c r="D2" s="104"/>
      <c r="E2" s="104"/>
      <c r="F2" s="104"/>
      <c r="H2" s="104">
        <f>$A$2</f>
        <v>44243</v>
      </c>
      <c r="I2" s="104"/>
      <c r="J2" s="104"/>
      <c r="K2" s="104"/>
      <c r="L2" s="104"/>
      <c r="N2" s="52" t="s">
        <v>90</v>
      </c>
      <c r="O2" s="54" t="s">
        <v>91</v>
      </c>
      <c r="P2" s="54" t="s">
        <v>92</v>
      </c>
      <c r="Q2" s="55" t="s">
        <v>0</v>
      </c>
    </row>
    <row r="3" spans="1:17" x14ac:dyDescent="0.3">
      <c r="A3" s="92">
        <v>44255</v>
      </c>
      <c r="B3" s="56" t="s">
        <v>93</v>
      </c>
      <c r="C3" s="57" t="s">
        <v>9</v>
      </c>
      <c r="D3" s="57" t="s">
        <v>91</v>
      </c>
      <c r="E3" s="57" t="s">
        <v>92</v>
      </c>
      <c r="F3" s="57" t="s">
        <v>0</v>
      </c>
      <c r="H3" s="56" t="s">
        <v>93</v>
      </c>
      <c r="I3" s="57" t="s">
        <v>90</v>
      </c>
      <c r="J3" s="57" t="s">
        <v>91</v>
      </c>
      <c r="K3" s="57" t="s">
        <v>92</v>
      </c>
      <c r="L3" s="57" t="s">
        <v>0</v>
      </c>
      <c r="N3" s="58" t="s">
        <v>87</v>
      </c>
      <c r="O3" s="59">
        <f t="shared" ref="O3" si="0">D14</f>
        <v>59380</v>
      </c>
      <c r="P3" s="59">
        <f>E14</f>
        <v>162100</v>
      </c>
      <c r="Q3" s="59">
        <f>SUM(Доход_общий_итог[[#This Row],[Наличный]:[Безналичный]])</f>
        <v>221480</v>
      </c>
    </row>
    <row r="4" spans="1:17" x14ac:dyDescent="0.3">
      <c r="B4" s="60">
        <f>+ROW()-3</f>
        <v>1</v>
      </c>
      <c r="C4" s="58" t="s">
        <v>10</v>
      </c>
      <c r="D4" s="59">
        <f>SUMIFS(Доходы[Наличная],Доходы[Хореограф],Доходы_ученики_итог_1половина[Хореограф],Доходы[Дата],"&lt;="&amp;$B$2)</f>
        <v>26650</v>
      </c>
      <c r="E4" s="59">
        <f>SUMIFS(Доходы[Безналичная],Доходы[Хореограф],Доходы_ученики_итог_1половина[Хореограф],Доходы[Дата2],"&lt;="&amp;$B$2)</f>
        <v>50480</v>
      </c>
      <c r="F4" s="59">
        <f>SUM(Доходы_ученики_итог_1половина[[#This Row],[Наличный]:[Безналичный]])</f>
        <v>77130</v>
      </c>
      <c r="H4" s="60">
        <f>+ROW()-3</f>
        <v>1</v>
      </c>
      <c r="I4" s="58" t="s">
        <v>55</v>
      </c>
      <c r="J4" s="59">
        <f>SUMIFS(Таблица_прочий_доход[Наличная],Таблица_прочий_доход[Наименование],Доход_прочие_итог_1половина[Источник],Таблица_прочий_доход[Дата],"&lt;="&amp;$H$2)</f>
        <v>5400</v>
      </c>
      <c r="K4" s="59">
        <f>SUMIFS(Таблица_прочий_доход[Безналичная],Таблица_прочий_доход[Наименование],Доход_прочие_итог_1половина[Источник],Таблица_прочий_доход[Дата2],"&lt;="&amp;$H$2)</f>
        <v>7600</v>
      </c>
      <c r="L4" s="59">
        <f>SUM(Доход_прочие_итог_1половина[[#This Row],[Наличный]:[Безналичный]])</f>
        <v>13000</v>
      </c>
      <c r="N4" s="58" t="s">
        <v>88</v>
      </c>
      <c r="O4" s="59">
        <f>J12</f>
        <v>6600</v>
      </c>
      <c r="P4" s="59">
        <f t="shared" ref="P4" si="1">K12</f>
        <v>17400</v>
      </c>
      <c r="Q4" s="59">
        <f>SUM(Доход_общий_итог[[#This Row],[Наличный]:[Безналичный]])</f>
        <v>24000</v>
      </c>
    </row>
    <row r="5" spans="1:17" x14ac:dyDescent="0.3">
      <c r="B5" s="61">
        <f>+ROW()-3</f>
        <v>2</v>
      </c>
      <c r="C5" s="58" t="s">
        <v>56</v>
      </c>
      <c r="D5" s="59">
        <f>SUMIFS(Доходы[Наличная],Доходы[Хореограф],Доходы_ученики_итог_1половина[Хореограф],Доходы[Дата],"&lt;="&amp;$B$2)</f>
        <v>25080</v>
      </c>
      <c r="E5" s="59">
        <f>SUMIFS(Доходы[Безналичная],Доходы[Хореограф],Доходы_ученики_итог_1половина[Хореограф],Доходы[Дата2],"&lt;="&amp;$B$2)</f>
        <v>87420</v>
      </c>
      <c r="F5" s="59">
        <f>SUM(Доходы_ученики_итог_1половина[[#This Row],[Наличный]:[Безналичный]])</f>
        <v>112500</v>
      </c>
      <c r="H5" s="61">
        <f>+ROW()-3</f>
        <v>2</v>
      </c>
      <c r="I5" s="58" t="s">
        <v>54</v>
      </c>
      <c r="J5" s="59">
        <f>SUMIFS(Таблица_прочий_доход[Наличная],Таблица_прочий_доход[Наименование],Доход_прочие_итог_1половина[Источник],Таблица_прочий_доход[Дата],"&lt;="&amp;$H$2)</f>
        <v>1200</v>
      </c>
      <c r="K5" s="59">
        <f>SUMIFS(Таблица_прочий_доход[Безналичная],Таблица_прочий_доход[Наименование],Доход_прочие_итог_1половина[Источник],Таблица_прочий_доход[Дата2],"&lt;="&amp;$H$2)</f>
        <v>900</v>
      </c>
      <c r="L5" s="59">
        <f>SUM(Доход_прочие_итог_1половина[[#This Row],[Наличный]:[Безналичный]])</f>
        <v>2100</v>
      </c>
      <c r="N5" s="52" t="s">
        <v>14</v>
      </c>
      <c r="O5" s="52">
        <f>SUBTOTAL(109,Доход_общий_итог[Наличный])</f>
        <v>65980</v>
      </c>
      <c r="P5" s="52">
        <f>SUBTOTAL(109,Доход_общий_итог[Безналичный])</f>
        <v>179500</v>
      </c>
      <c r="Q5" s="62">
        <f>SUBTOTAL(109,Доход_общий_итог[Всего])</f>
        <v>245480</v>
      </c>
    </row>
    <row r="6" spans="1:17" x14ac:dyDescent="0.3">
      <c r="B6" s="61">
        <f>+ROW()-3</f>
        <v>3</v>
      </c>
      <c r="C6" s="58" t="s">
        <v>72</v>
      </c>
      <c r="D6" s="59">
        <f>SUMIFS(Доходы[Наличная],Доходы[Хореограф],Доходы_ученики_итог_1половина[Хореограф],Доходы[Дата],"&lt;="&amp;$B$2)</f>
        <v>3150</v>
      </c>
      <c r="E6" s="59">
        <f>SUMIFS(Доходы[Безналичная],Доходы[Хореограф],Доходы_ученики_итог_1половина[Хореограф],Доходы[Дата2],"&lt;="&amp;$B$2)</f>
        <v>11700</v>
      </c>
      <c r="F6" s="59">
        <f>SUM(Доходы_ученики_итог_1половина[[#This Row],[Наличный]:[Безналичный]])</f>
        <v>14850</v>
      </c>
      <c r="H6" s="91" t="s">
        <v>14</v>
      </c>
      <c r="I6" s="91"/>
      <c r="J6" s="91">
        <f>SUBTOTAL(109,Доход_прочие_итог_1половина[Наличный])</f>
        <v>6600</v>
      </c>
      <c r="K6" s="91">
        <f>SUBTOTAL(109,Доход_прочие_итог_1половина[Безналичный])</f>
        <v>8500</v>
      </c>
      <c r="L6" s="91">
        <f>SUBTOTAL(109,Доход_прочие_итог_1половина[Всего])</f>
        <v>15100</v>
      </c>
      <c r="N6" s="103" t="s">
        <v>94</v>
      </c>
      <c r="O6" s="103"/>
      <c r="P6" s="103"/>
      <c r="Q6" s="103"/>
    </row>
    <row r="7" spans="1:17" x14ac:dyDescent="0.3">
      <c r="B7" s="91" t="s">
        <v>14</v>
      </c>
      <c r="C7" s="91"/>
      <c r="D7" s="91">
        <f>SUBTOTAL(109,Доходы_ученики_итог_1половина[Наличный])</f>
        <v>54880</v>
      </c>
      <c r="E7" s="91">
        <f>SUBTOTAL(109,Доходы_ученики_итог_1половина[Безналичный])</f>
        <v>149600</v>
      </c>
      <c r="F7" s="91">
        <f>SUBTOTAL(109,Доходы_ученики_итог_1половина[Всего])</f>
        <v>204480</v>
      </c>
      <c r="H7" s="104">
        <f>$A$3</f>
        <v>44255</v>
      </c>
      <c r="I7" s="104"/>
      <c r="J7" s="104"/>
      <c r="K7" s="104"/>
      <c r="L7" s="104"/>
      <c r="N7" s="63" t="s">
        <v>90</v>
      </c>
      <c r="O7" s="64" t="s">
        <v>91</v>
      </c>
      <c r="P7" s="64" t="s">
        <v>92</v>
      </c>
      <c r="Q7" s="64" t="s">
        <v>0</v>
      </c>
    </row>
    <row r="8" spans="1:17" x14ac:dyDescent="0.3">
      <c r="B8" s="104">
        <f>$A$3</f>
        <v>44255</v>
      </c>
      <c r="C8" s="104"/>
      <c r="D8" s="104"/>
      <c r="E8" s="104"/>
      <c r="F8" s="104"/>
      <c r="H8" s="65" t="s">
        <v>93</v>
      </c>
      <c r="I8" s="57" t="s">
        <v>90</v>
      </c>
      <c r="J8" s="57" t="s">
        <v>91</v>
      </c>
      <c r="K8" s="57" t="s">
        <v>92</v>
      </c>
      <c r="L8" s="57" t="s">
        <v>0</v>
      </c>
      <c r="N8" s="66" t="s">
        <v>87</v>
      </c>
      <c r="O8" s="67">
        <f>D14</f>
        <v>59380</v>
      </c>
      <c r="P8" s="67">
        <f>E14</f>
        <v>162100</v>
      </c>
      <c r="Q8" s="67">
        <f>SUM(Прибыль_общая_итог[[#This Row],[Наличный]:[Безналичный]])</f>
        <v>221480</v>
      </c>
    </row>
    <row r="9" spans="1:17" x14ac:dyDescent="0.3">
      <c r="B9" s="65" t="s">
        <v>93</v>
      </c>
      <c r="C9" s="57" t="s">
        <v>9</v>
      </c>
      <c r="D9" s="57" t="s">
        <v>91</v>
      </c>
      <c r="E9" s="57" t="s">
        <v>92</v>
      </c>
      <c r="F9" s="57" t="s">
        <v>0</v>
      </c>
      <c r="H9" s="68">
        <f>+ROW()-ROW(Доход_прочие_итог_2половина[[#Headers],[№]])</f>
        <v>1</v>
      </c>
      <c r="I9" s="58" t="s">
        <v>55</v>
      </c>
      <c r="J9" s="59">
        <f>SUMIFS(Таблица_прочий_доход[Наличная],Таблица_прочий_доход[Наименование],Доход_прочие_итог_2половина[Источник],Таблица_прочий_доход[Дата],"&gt;"&amp;$H$2)</f>
        <v>0</v>
      </c>
      <c r="K9" s="59">
        <f>SUMIFS(Таблица_прочий_доход[Безналичная],Таблица_прочий_доход[Наименование],Доход_прочие_итог_2половина[Источник],Таблица_прочий_доход[Дата2],"&gt;"&amp;$H$2)</f>
        <v>8900</v>
      </c>
      <c r="L9" s="59">
        <f>SUM(Доход_прочие_итог_2половина[[#This Row],[Наличный]:[Безналичный]])</f>
        <v>8900</v>
      </c>
      <c r="N9" s="66" t="s">
        <v>88</v>
      </c>
      <c r="O9" s="67">
        <f>J12</f>
        <v>6600</v>
      </c>
      <c r="P9" s="67">
        <f>K12</f>
        <v>17400</v>
      </c>
      <c r="Q9" s="67">
        <f>SUM(Прибыль_общая_итог[[#This Row],[Наличный]:[Безналичный]])</f>
        <v>24000</v>
      </c>
    </row>
    <row r="10" spans="1:17" x14ac:dyDescent="0.3">
      <c r="B10" s="68">
        <f>+ROW()-ROW(Доходы_ученики_итог_2половина[[#Headers],[№]])</f>
        <v>1</v>
      </c>
      <c r="C10" s="58" t="s">
        <v>10</v>
      </c>
      <c r="D10" s="59">
        <f>SUMIFS(Доходы[Наличная],Доходы[Хореограф],Доходы_ученики_итог_2половина[Хореограф],Доходы[Дата],"&gt;"&amp;$B$2)</f>
        <v>2500</v>
      </c>
      <c r="E10" s="59">
        <f>SUMIFS(Доходы[Безналичная],Доходы[Хореограф],Доходы_ученики_итог_2половина[Хореограф],Доходы[Дата2],"&gt;"&amp;$B$2)</f>
        <v>6100</v>
      </c>
      <c r="F10" s="59">
        <f>SUM(Доходы_ученики_итог_2половина[[#This Row],[Наличный]:[Безналичный]])</f>
        <v>8600</v>
      </c>
      <c r="H10" s="69">
        <f>+ROW()-ROW(Доход_прочие_итог_2половина[[#Headers],[№]])</f>
        <v>2</v>
      </c>
      <c r="I10" s="58" t="s">
        <v>54</v>
      </c>
      <c r="J10" s="59">
        <f>SUMIFS(Таблица_прочий_доход[Наличная],Таблица_прочий_доход[Наименование],Доход_прочие_итог_2половина[Источник],Таблица_прочий_доход[Дата],"&gt;"&amp;$H$2)</f>
        <v>0</v>
      </c>
      <c r="K10" s="59">
        <f>SUMIFS(Таблица_прочий_доход[Безналичная],Таблица_прочий_доход[Наименование],Доход_прочие_итог_2половина[Источник],Таблица_прочий_доход[Дата2],"&gt;"&amp;$H$2)</f>
        <v>0</v>
      </c>
      <c r="L10" s="59">
        <f>SUM(Доход_прочие_итог_2половина[[#This Row],[Наличный]:[Безналичный]])</f>
        <v>0</v>
      </c>
      <c r="N10" s="70" t="s">
        <v>95</v>
      </c>
      <c r="O10" s="71">
        <f>SUMIF(Таблица_расходы[Способ],"Наличная",Таблица_расходы[Сумма])</f>
        <v>126700</v>
      </c>
      <c r="P10" s="71">
        <f>SUMIF(Таблица_расходы[Способ],"Безналичная",Таблица_расходы[Сумма])</f>
        <v>1608</v>
      </c>
      <c r="Q10" s="71">
        <f>SUM(Прибыль_общая_итог[[#This Row],[Наличный]:[Безналичный]])</f>
        <v>128308</v>
      </c>
    </row>
    <row r="11" spans="1:17" x14ac:dyDescent="0.3">
      <c r="B11" s="69">
        <f>+ROW()-ROW(Доходы_ученики_итог_2половина[[#Headers],[№]])</f>
        <v>2</v>
      </c>
      <c r="C11" s="58" t="s">
        <v>56</v>
      </c>
      <c r="D11" s="59">
        <f>SUMIFS(Доходы[Наличная],Доходы[Хореограф],Доходы_ученики_итог_2половина[Хореограф],Доходы[Дата],"&gt;"&amp;$B$2)</f>
        <v>1500</v>
      </c>
      <c r="E11" s="59">
        <f>SUMIFS(Доходы[Безналичная],Доходы[Хореограф],Доходы_ученики_итог_2половина[Хореограф],Доходы[Дата2],"&gt;"&amp;$B$2)</f>
        <v>5900</v>
      </c>
      <c r="F11" s="59">
        <f>SUM(Доходы_ученики_итог_2половина[[#This Row],[Наличный]:[Безналичный]])</f>
        <v>7400</v>
      </c>
      <c r="H11" s="93" t="s">
        <v>14</v>
      </c>
      <c r="I11" s="93"/>
      <c r="J11" s="91">
        <f>SUBTOTAL(109,Доход_прочие_итог_2половина[Наличный])</f>
        <v>0</v>
      </c>
      <c r="K11" s="91">
        <f>SUBTOTAL(109,Доход_прочие_итог_2половина[Безналичный])</f>
        <v>8900</v>
      </c>
      <c r="L11" s="91">
        <f>SUBTOTAL(109,Доход_прочие_итог_2половина[Всего])</f>
        <v>8900</v>
      </c>
      <c r="N11" s="70" t="s">
        <v>96</v>
      </c>
      <c r="O11" s="71">
        <f>SUM(Оплата_зарплаты[Нал])</f>
        <v>92400</v>
      </c>
      <c r="P11" s="71">
        <f>SUM(Оплата_зарплаты[Безнал])</f>
        <v>0</v>
      </c>
      <c r="Q11" s="59">
        <f>SUM(Прибыль_общая_итог[[#This Row],[Наличный]:[Безналичный]])</f>
        <v>92400</v>
      </c>
    </row>
    <row r="12" spans="1:17" x14ac:dyDescent="0.3">
      <c r="B12" s="69">
        <f>+ROW()-ROW(Доходы_ученики_итог_2половина[[#Headers],[№]])</f>
        <v>3</v>
      </c>
      <c r="C12" s="58" t="s">
        <v>72</v>
      </c>
      <c r="D12" s="59">
        <f>SUMIFS(Доходы[Наличная],Доходы[Хореограф],Доходы_ученики_итог_2половина[Хореограф],Доходы[Дата],"&gt;"&amp;$B$2)</f>
        <v>500</v>
      </c>
      <c r="E12" s="59">
        <f>SUMIFS(Доходы[Безналичная],Доходы[Хореограф],Доходы_ученики_итог_2половина[Хореограф],Доходы[Дата2],"&gt;"&amp;$B$2)</f>
        <v>500</v>
      </c>
      <c r="F12" s="59">
        <f>SUM(Доходы_ученики_итог_2половина[[#This Row],[Наличный]:[Безналичный]])</f>
        <v>1000</v>
      </c>
      <c r="H12" s="105" t="s">
        <v>14</v>
      </c>
      <c r="I12" s="105"/>
      <c r="J12" s="72">
        <f>SUM(Доход_прочие_итог_2половина[[#Totals],[Наличный]],Доход_прочие_итог_1половина[[#Totals],[Наличный]])</f>
        <v>6600</v>
      </c>
      <c r="K12" s="72">
        <f>SUM(Доход_прочие_итог_2половина[[#Totals],[Безналичный]],Доход_прочие_итог_1половина[[#Totals],[Безналичный]])</f>
        <v>17400</v>
      </c>
      <c r="L12" s="62">
        <f>SUM(Доход_прочие_итог_2половина[[#Totals],[Всего]],Доход_прочие_итог_1половина[[#Totals],[Всего]])</f>
        <v>24000</v>
      </c>
      <c r="N12" s="73" t="s">
        <v>14</v>
      </c>
      <c r="O12" s="74">
        <f>SUM(O8:O9)-SUM(O10:O11)</f>
        <v>-153120</v>
      </c>
      <c r="P12" s="74">
        <f>SUM(P8:P9)-SUM(P10:P11)</f>
        <v>177892</v>
      </c>
      <c r="Q12" s="75">
        <f>SUM(Q8:Q9)-SUM(Q10:Q11)</f>
        <v>24772</v>
      </c>
    </row>
    <row r="13" spans="1:17" x14ac:dyDescent="0.3">
      <c r="B13" s="93" t="s">
        <v>14</v>
      </c>
      <c r="C13" s="93"/>
      <c r="D13" s="90">
        <f>SUBTOTAL(109,Доходы_ученики_итог_2половина[Наличный])</f>
        <v>4500</v>
      </c>
      <c r="E13" s="90">
        <f>SUBTOTAL(109,Доходы_ученики_итог_2половина[Безналичный])</f>
        <v>12500</v>
      </c>
      <c r="F13" s="90">
        <f>SUBTOTAL(109,Доходы_ученики_итог_2половина[Всего])</f>
        <v>17000</v>
      </c>
    </row>
    <row r="14" spans="1:17" x14ac:dyDescent="0.3">
      <c r="B14" s="105" t="s">
        <v>14</v>
      </c>
      <c r="C14" s="105"/>
      <c r="D14" s="72">
        <f>SUM(Доходы_ученики_итог_2половина[[#Totals],[Наличный]],Доходы_ученики_итог_1половина[[#Totals],[Наличный]])</f>
        <v>59380</v>
      </c>
      <c r="E14" s="72">
        <f>SUM(Доходы_ученики_итог_2половина[[#Totals],[Безналичный]],Доходы_ученики_итог_1половина[[#Totals],[Безналичный]])</f>
        <v>162100</v>
      </c>
      <c r="F14" s="62">
        <f>SUM(Доходы_ученики_итог_2половина[[#Totals],[Всего]],Доходы_ученики_итог_1половина[[#Totals],[Всего]])</f>
        <v>221480</v>
      </c>
    </row>
  </sheetData>
  <mergeCells count="10">
    <mergeCell ref="B8:F8"/>
    <mergeCell ref="H12:I12"/>
    <mergeCell ref="B14:C14"/>
    <mergeCell ref="B1:F1"/>
    <mergeCell ref="H1:L1"/>
    <mergeCell ref="N1:Q1"/>
    <mergeCell ref="B2:F2"/>
    <mergeCell ref="H2:L2"/>
    <mergeCell ref="N6:Q6"/>
    <mergeCell ref="H7:L7"/>
  </mergeCells>
  <dataValidations count="2">
    <dataValidation type="list" allowBlank="1" showInputMessage="1" showErrorMessage="1" sqref="C4:C6 C10:C12" xr:uid="{B2E15929-2D39-4C46-BCFF-624119AFAAAD}">
      <formula1>Хореограф_наименования</formula1>
    </dataValidation>
    <dataValidation type="list" allowBlank="1" showInputMessage="1" showErrorMessage="1" sqref="I4:I5 I9:I10" xr:uid="{5AAEA2F3-4734-4174-9D30-8B14A05A7779}">
      <formula1>Доходы_наименования</formula1>
    </dataValidation>
  </dataValidations>
  <pageMargins left="0.7" right="0.7" top="0.75" bottom="0.75" header="0.3" footer="0.3"/>
  <pageSetup paperSize="0" orientation="portrait" horizontalDpi="0" verticalDpi="0" copies="0"/>
  <ignoredErrors>
    <ignoredError sqref="O4 P3" calculatedColumn="1"/>
  </ignoredErrors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9C85-0BC6-41AA-B41D-BC7FA8DB08F1}">
  <dimension ref="A3:AI53"/>
  <sheetViews>
    <sheetView tabSelected="1" zoomScale="85" zoomScaleNormal="85" workbookViewId="0">
      <selection activeCell="A28" sqref="A28"/>
    </sheetView>
  </sheetViews>
  <sheetFormatPr defaultColWidth="8.77734375" defaultRowHeight="14.4" x14ac:dyDescent="0.3"/>
  <cols>
    <col min="1" max="1" width="17.109375" style="52" bestFit="1" customWidth="1"/>
    <col min="2" max="32" width="4.109375" style="52" bestFit="1" customWidth="1"/>
    <col min="33" max="33" width="6.21875" style="52" bestFit="1" customWidth="1"/>
    <col min="34" max="35" width="17" style="52" bestFit="1" customWidth="1"/>
    <col min="36" max="16384" width="8.77734375" style="52"/>
  </cols>
  <sheetData>
    <row r="3" spans="1:32" x14ac:dyDescent="0.3">
      <c r="A3" s="94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</row>
    <row r="4" spans="1:32" x14ac:dyDescent="0.3">
      <c r="A4" s="95" t="s">
        <v>10</v>
      </c>
      <c r="B4" s="1">
        <v>14</v>
      </c>
      <c r="C4" s="1">
        <v>7</v>
      </c>
      <c r="D4" s="1">
        <v>14</v>
      </c>
      <c r="E4" s="1">
        <v>9</v>
      </c>
      <c r="F4" s="1">
        <v>2</v>
      </c>
      <c r="G4" s="1"/>
      <c r="H4" s="1"/>
      <c r="I4" s="1">
        <v>16</v>
      </c>
      <c r="J4" s="1">
        <v>6</v>
      </c>
      <c r="K4" s="1">
        <v>17</v>
      </c>
      <c r="L4" s="1">
        <v>5</v>
      </c>
      <c r="M4" s="1">
        <v>2</v>
      </c>
      <c r="N4" s="1"/>
      <c r="O4" s="1"/>
      <c r="P4" s="1">
        <v>13</v>
      </c>
      <c r="Q4" s="1">
        <v>7</v>
      </c>
      <c r="R4" s="1">
        <v>12</v>
      </c>
      <c r="S4" s="1">
        <v>5</v>
      </c>
      <c r="T4" s="1">
        <v>3</v>
      </c>
      <c r="U4" s="1"/>
      <c r="V4" s="1"/>
      <c r="W4" s="1">
        <v>9</v>
      </c>
      <c r="X4" s="1">
        <v>3</v>
      </c>
      <c r="Y4" s="1">
        <v>20</v>
      </c>
      <c r="Z4" s="1">
        <v>6</v>
      </c>
      <c r="AA4" s="1">
        <v>2</v>
      </c>
      <c r="AB4" s="1"/>
      <c r="AC4" s="1"/>
      <c r="AD4" s="1"/>
      <c r="AE4" s="1"/>
      <c r="AF4" s="1"/>
    </row>
    <row r="5" spans="1:32" x14ac:dyDescent="0.3">
      <c r="A5" s="96" t="s">
        <v>58</v>
      </c>
      <c r="B5" s="1">
        <v>4</v>
      </c>
      <c r="C5" s="1"/>
      <c r="D5" s="1">
        <v>5</v>
      </c>
      <c r="E5" s="1"/>
      <c r="F5" s="1"/>
      <c r="G5" s="1"/>
      <c r="H5" s="1"/>
      <c r="I5" s="1">
        <v>6</v>
      </c>
      <c r="J5" s="1"/>
      <c r="K5" s="1">
        <v>7</v>
      </c>
      <c r="L5" s="1"/>
      <c r="M5" s="1"/>
      <c r="N5" s="1"/>
      <c r="O5" s="1"/>
      <c r="P5" s="1">
        <v>5</v>
      </c>
      <c r="Q5" s="1"/>
      <c r="R5" s="1">
        <v>3</v>
      </c>
      <c r="S5" s="1"/>
      <c r="T5" s="1"/>
      <c r="U5" s="1"/>
      <c r="V5" s="1"/>
      <c r="W5" s="1">
        <v>2</v>
      </c>
      <c r="X5" s="1"/>
      <c r="Y5" s="1">
        <v>8</v>
      </c>
      <c r="Z5" s="1"/>
      <c r="AA5" s="1"/>
      <c r="AB5" s="1"/>
      <c r="AC5" s="1"/>
      <c r="AD5" s="1"/>
      <c r="AE5" s="1"/>
      <c r="AF5" s="1"/>
    </row>
    <row r="6" spans="1:32" x14ac:dyDescent="0.3">
      <c r="A6" s="96" t="s">
        <v>59</v>
      </c>
      <c r="B6" s="1">
        <v>10</v>
      </c>
      <c r="C6" s="1"/>
      <c r="D6" s="1">
        <v>9</v>
      </c>
      <c r="E6" s="1"/>
      <c r="F6" s="1"/>
      <c r="G6" s="1"/>
      <c r="H6" s="1"/>
      <c r="I6" s="1">
        <v>10</v>
      </c>
      <c r="J6" s="1"/>
      <c r="K6" s="1">
        <v>10</v>
      </c>
      <c r="L6" s="1"/>
      <c r="M6" s="1"/>
      <c r="N6" s="1"/>
      <c r="O6" s="1"/>
      <c r="P6" s="1">
        <v>8</v>
      </c>
      <c r="Q6" s="1"/>
      <c r="R6" s="1">
        <v>9</v>
      </c>
      <c r="S6" s="1"/>
      <c r="T6" s="1"/>
      <c r="U6" s="1"/>
      <c r="V6" s="1"/>
      <c r="W6" s="1">
        <v>7</v>
      </c>
      <c r="X6" s="1"/>
      <c r="Y6" s="1">
        <v>11</v>
      </c>
      <c r="Z6" s="1"/>
      <c r="AA6" s="1"/>
      <c r="AB6" s="1"/>
      <c r="AC6" s="1"/>
      <c r="AD6" s="1"/>
      <c r="AE6" s="1"/>
      <c r="AF6" s="1"/>
    </row>
    <row r="7" spans="1:32" x14ac:dyDescent="0.3">
      <c r="A7" s="96" t="s">
        <v>61</v>
      </c>
      <c r="B7" s="1"/>
      <c r="C7" s="1">
        <v>7</v>
      </c>
      <c r="D7" s="1"/>
      <c r="E7" s="1">
        <v>9</v>
      </c>
      <c r="F7" s="1"/>
      <c r="G7" s="1"/>
      <c r="H7" s="1"/>
      <c r="I7" s="1"/>
      <c r="J7" s="1">
        <v>6</v>
      </c>
      <c r="K7" s="1"/>
      <c r="L7" s="1">
        <v>5</v>
      </c>
      <c r="M7" s="1"/>
      <c r="N7" s="1"/>
      <c r="O7" s="1"/>
      <c r="P7" s="1"/>
      <c r="Q7" s="1">
        <v>7</v>
      </c>
      <c r="R7" s="1"/>
      <c r="S7" s="1">
        <v>5</v>
      </c>
      <c r="T7" s="1"/>
      <c r="U7" s="1"/>
      <c r="V7" s="1"/>
      <c r="W7" s="1"/>
      <c r="X7" s="1">
        <v>3</v>
      </c>
      <c r="Y7" s="1">
        <v>1</v>
      </c>
      <c r="Z7" s="1">
        <v>6</v>
      </c>
      <c r="AA7" s="1"/>
      <c r="AB7" s="1"/>
      <c r="AC7" s="1"/>
      <c r="AD7" s="1"/>
      <c r="AE7" s="1"/>
      <c r="AF7" s="1"/>
    </row>
    <row r="8" spans="1:32" x14ac:dyDescent="0.3">
      <c r="A8" s="96" t="s">
        <v>67</v>
      </c>
      <c r="B8" s="1"/>
      <c r="C8" s="1"/>
      <c r="D8" s="1"/>
      <c r="E8" s="1"/>
      <c r="F8" s="1">
        <v>2</v>
      </c>
      <c r="G8" s="1"/>
      <c r="H8" s="1"/>
      <c r="I8" s="1"/>
      <c r="J8" s="1"/>
      <c r="K8" s="1"/>
      <c r="L8" s="1"/>
      <c r="M8" s="1">
        <v>2</v>
      </c>
      <c r="N8" s="1"/>
      <c r="O8" s="1"/>
      <c r="P8" s="1"/>
      <c r="Q8" s="1"/>
      <c r="R8" s="1"/>
      <c r="S8" s="1"/>
      <c r="T8" s="1">
        <v>3</v>
      </c>
      <c r="U8" s="1"/>
      <c r="V8" s="1"/>
      <c r="W8" s="1"/>
      <c r="X8" s="1"/>
      <c r="Y8" s="1"/>
      <c r="Z8" s="1"/>
      <c r="AA8" s="1">
        <v>2</v>
      </c>
      <c r="AB8" s="1"/>
      <c r="AC8" s="1"/>
      <c r="AD8" s="1"/>
      <c r="AE8" s="1"/>
      <c r="AF8" s="1"/>
    </row>
    <row r="9" spans="1:32" x14ac:dyDescent="0.3">
      <c r="A9" s="95" t="s">
        <v>72</v>
      </c>
      <c r="B9" s="1"/>
      <c r="C9" s="1">
        <v>6</v>
      </c>
      <c r="D9" s="1"/>
      <c r="E9" s="1">
        <v>4</v>
      </c>
      <c r="F9" s="1">
        <v>2</v>
      </c>
      <c r="G9" s="1"/>
      <c r="H9" s="1">
        <v>2</v>
      </c>
      <c r="I9" s="1"/>
      <c r="J9" s="1">
        <v>3</v>
      </c>
      <c r="K9" s="1"/>
      <c r="L9" s="1">
        <v>1</v>
      </c>
      <c r="M9" s="1"/>
      <c r="N9" s="1"/>
      <c r="O9" s="1">
        <v>3</v>
      </c>
      <c r="P9" s="1"/>
      <c r="Q9" s="1">
        <v>3</v>
      </c>
      <c r="R9" s="1"/>
      <c r="S9" s="1">
        <v>3</v>
      </c>
      <c r="T9" s="1"/>
      <c r="U9" s="1"/>
      <c r="V9" s="1"/>
      <c r="W9" s="1"/>
      <c r="X9" s="1">
        <v>4</v>
      </c>
      <c r="Y9" s="1"/>
      <c r="Z9" s="1">
        <v>5</v>
      </c>
      <c r="AA9" s="1"/>
      <c r="AB9" s="1"/>
      <c r="AC9" s="1">
        <v>2</v>
      </c>
      <c r="AD9" s="1"/>
      <c r="AE9" s="1"/>
      <c r="AF9" s="1"/>
    </row>
    <row r="10" spans="1:32" x14ac:dyDescent="0.3">
      <c r="A10" s="96" t="s">
        <v>57</v>
      </c>
      <c r="B10" s="1"/>
      <c r="C10" s="1">
        <v>6</v>
      </c>
      <c r="D10" s="1"/>
      <c r="E10" s="1">
        <v>4</v>
      </c>
      <c r="F10" s="1"/>
      <c r="G10" s="1"/>
      <c r="H10" s="1"/>
      <c r="I10" s="1"/>
      <c r="J10" s="1">
        <v>3</v>
      </c>
      <c r="K10" s="1"/>
      <c r="L10" s="1">
        <v>1</v>
      </c>
      <c r="M10" s="1"/>
      <c r="N10" s="1"/>
      <c r="O10" s="1"/>
      <c r="P10" s="1"/>
      <c r="Q10" s="1">
        <v>3</v>
      </c>
      <c r="R10" s="1"/>
      <c r="S10" s="1">
        <v>3</v>
      </c>
      <c r="T10" s="1"/>
      <c r="U10" s="1"/>
      <c r="V10" s="1"/>
      <c r="W10" s="1"/>
      <c r="X10" s="1">
        <v>4</v>
      </c>
      <c r="Y10" s="1"/>
      <c r="Z10" s="1">
        <v>5</v>
      </c>
      <c r="AA10" s="1"/>
      <c r="AB10" s="1"/>
      <c r="AC10" s="1"/>
      <c r="AD10" s="1"/>
      <c r="AE10" s="1"/>
      <c r="AF10" s="1"/>
    </row>
    <row r="11" spans="1:32" x14ac:dyDescent="0.3">
      <c r="A11" s="96" t="s">
        <v>68</v>
      </c>
      <c r="B11" s="1"/>
      <c r="C11" s="1"/>
      <c r="D11" s="1"/>
      <c r="E11" s="1"/>
      <c r="F11" s="1">
        <v>2</v>
      </c>
      <c r="G11" s="1"/>
      <c r="H11" s="1">
        <v>2</v>
      </c>
      <c r="I11" s="1"/>
      <c r="J11" s="1"/>
      <c r="K11" s="1"/>
      <c r="L11" s="1"/>
      <c r="M11" s="1"/>
      <c r="N11" s="1"/>
      <c r="O11" s="1">
        <v>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2</v>
      </c>
      <c r="AD11" s="1"/>
      <c r="AE11" s="1"/>
      <c r="AF11" s="1"/>
    </row>
    <row r="12" spans="1:32" x14ac:dyDescent="0.3">
      <c r="A12" s="95" t="s">
        <v>56</v>
      </c>
      <c r="B12" s="1">
        <v>21</v>
      </c>
      <c r="C12" s="1">
        <v>9</v>
      </c>
      <c r="D12" s="1">
        <v>24</v>
      </c>
      <c r="E12" s="1"/>
      <c r="F12" s="1"/>
      <c r="G12" s="1">
        <v>14</v>
      </c>
      <c r="H12" s="1"/>
      <c r="I12" s="1">
        <v>15</v>
      </c>
      <c r="J12" s="1">
        <v>9</v>
      </c>
      <c r="K12" s="1">
        <v>22</v>
      </c>
      <c r="L12" s="1"/>
      <c r="M12" s="1"/>
      <c r="N12" s="1">
        <v>13</v>
      </c>
      <c r="O12" s="1"/>
      <c r="P12" s="1">
        <v>15</v>
      </c>
      <c r="Q12" s="1">
        <v>9</v>
      </c>
      <c r="R12" s="1">
        <v>20</v>
      </c>
      <c r="S12" s="1"/>
      <c r="T12" s="1"/>
      <c r="U12" s="1">
        <v>14</v>
      </c>
      <c r="V12" s="1"/>
      <c r="W12" s="1">
        <v>14</v>
      </c>
      <c r="X12" s="1">
        <v>10</v>
      </c>
      <c r="Y12" s="1">
        <v>20</v>
      </c>
      <c r="Z12" s="1"/>
      <c r="AA12" s="1"/>
      <c r="AB12" s="1">
        <v>14</v>
      </c>
      <c r="AC12" s="1"/>
      <c r="AD12" s="1"/>
      <c r="AE12" s="1"/>
      <c r="AF12" s="1"/>
    </row>
    <row r="13" spans="1:32" x14ac:dyDescent="0.3">
      <c r="A13" s="96" t="s">
        <v>62</v>
      </c>
      <c r="B13" s="1">
        <v>6</v>
      </c>
      <c r="C13" s="1"/>
      <c r="D13" s="1">
        <v>5</v>
      </c>
      <c r="E13" s="1"/>
      <c r="F13" s="1"/>
      <c r="G13" s="1"/>
      <c r="H13" s="1"/>
      <c r="I13" s="1">
        <v>5</v>
      </c>
      <c r="J13" s="1"/>
      <c r="K13" s="1">
        <v>5</v>
      </c>
      <c r="L13" s="1"/>
      <c r="M13" s="1"/>
      <c r="N13" s="1"/>
      <c r="O13" s="1"/>
      <c r="P13" s="1">
        <v>5</v>
      </c>
      <c r="Q13" s="1"/>
      <c r="R13" s="1">
        <v>4</v>
      </c>
      <c r="S13" s="1"/>
      <c r="T13" s="1"/>
      <c r="U13" s="1"/>
      <c r="V13" s="1"/>
      <c r="W13" s="1">
        <v>3</v>
      </c>
      <c r="X13" s="1"/>
      <c r="Y13" s="1">
        <v>5</v>
      </c>
      <c r="Z13" s="1"/>
      <c r="AA13" s="1"/>
      <c r="AB13" s="1"/>
      <c r="AC13" s="1"/>
      <c r="AD13" s="1"/>
      <c r="AE13" s="1"/>
      <c r="AF13" s="1"/>
    </row>
    <row r="14" spans="1:32" x14ac:dyDescent="0.3">
      <c r="A14" s="96" t="s">
        <v>60</v>
      </c>
      <c r="B14" s="1">
        <v>1</v>
      </c>
      <c r="C14" s="1"/>
      <c r="D14" s="1">
        <v>2</v>
      </c>
      <c r="E14" s="1"/>
      <c r="F14" s="1"/>
      <c r="G14" s="1"/>
      <c r="H14" s="1"/>
      <c r="I14" s="1">
        <v>1</v>
      </c>
      <c r="J14" s="1"/>
      <c r="K14" s="1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96" t="s">
        <v>71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96" t="s">
        <v>63</v>
      </c>
      <c r="B16" s="1"/>
      <c r="C16" s="1">
        <v>9</v>
      </c>
      <c r="D16" s="1"/>
      <c r="E16" s="1"/>
      <c r="F16" s="1"/>
      <c r="G16" s="1">
        <v>9</v>
      </c>
      <c r="H16" s="1"/>
      <c r="I16" s="1"/>
      <c r="J16" s="1">
        <v>8</v>
      </c>
      <c r="K16" s="1"/>
      <c r="L16" s="1"/>
      <c r="M16" s="1"/>
      <c r="N16" s="1">
        <v>8</v>
      </c>
      <c r="O16" s="1"/>
      <c r="P16" s="1"/>
      <c r="Q16" s="1">
        <v>9</v>
      </c>
      <c r="R16" s="1"/>
      <c r="S16" s="1"/>
      <c r="T16" s="1"/>
      <c r="U16" s="1">
        <v>9</v>
      </c>
      <c r="V16" s="1"/>
      <c r="W16" s="1"/>
      <c r="X16" s="1">
        <v>10</v>
      </c>
      <c r="Y16" s="1"/>
      <c r="Z16" s="1"/>
      <c r="AA16" s="1"/>
      <c r="AB16" s="1">
        <v>10</v>
      </c>
      <c r="AC16" s="1"/>
      <c r="AD16" s="1"/>
      <c r="AE16" s="1"/>
      <c r="AF16" s="1"/>
    </row>
    <row r="17" spans="1:35" x14ac:dyDescent="0.3">
      <c r="A17" s="96" t="s">
        <v>64</v>
      </c>
      <c r="B17" s="1">
        <v>8</v>
      </c>
      <c r="C17" s="1"/>
      <c r="D17" s="1">
        <v>8</v>
      </c>
      <c r="E17" s="1"/>
      <c r="F17" s="1"/>
      <c r="G17" s="1"/>
      <c r="H17" s="1"/>
      <c r="I17" s="1">
        <v>6</v>
      </c>
      <c r="J17" s="1"/>
      <c r="K17" s="1">
        <v>7</v>
      </c>
      <c r="L17" s="1"/>
      <c r="M17" s="1"/>
      <c r="N17" s="1"/>
      <c r="O17" s="1"/>
      <c r="P17" s="1">
        <v>7</v>
      </c>
      <c r="Q17" s="1"/>
      <c r="R17" s="1">
        <v>6</v>
      </c>
      <c r="S17" s="1"/>
      <c r="T17" s="1"/>
      <c r="U17" s="1"/>
      <c r="V17" s="1"/>
      <c r="W17" s="1">
        <v>7</v>
      </c>
      <c r="X17" s="1"/>
      <c r="Y17" s="1">
        <v>7</v>
      </c>
      <c r="Z17" s="1"/>
      <c r="AA17" s="1"/>
      <c r="AB17" s="1"/>
      <c r="AC17" s="1"/>
      <c r="AD17" s="1"/>
      <c r="AE17" s="1"/>
      <c r="AF17" s="1"/>
    </row>
    <row r="18" spans="1:35" x14ac:dyDescent="0.3">
      <c r="A18" s="96" t="s">
        <v>66</v>
      </c>
      <c r="B18" s="1"/>
      <c r="C18" s="1"/>
      <c r="D18" s="1">
        <v>6</v>
      </c>
      <c r="E18" s="1"/>
      <c r="F18" s="1"/>
      <c r="G18" s="1">
        <v>5</v>
      </c>
      <c r="H18" s="1"/>
      <c r="I18" s="1"/>
      <c r="J18" s="1"/>
      <c r="K18" s="1">
        <v>6</v>
      </c>
      <c r="L18" s="1"/>
      <c r="M18" s="1"/>
      <c r="N18" s="1">
        <v>5</v>
      </c>
      <c r="O18" s="1"/>
      <c r="P18" s="1"/>
      <c r="Q18" s="1"/>
      <c r="R18" s="1">
        <v>6</v>
      </c>
      <c r="S18" s="1"/>
      <c r="T18" s="1"/>
      <c r="U18" s="1">
        <v>5</v>
      </c>
      <c r="V18" s="1"/>
      <c r="W18" s="1"/>
      <c r="X18" s="1"/>
      <c r="Y18" s="1">
        <v>5</v>
      </c>
      <c r="Z18" s="1"/>
      <c r="AA18" s="1"/>
      <c r="AB18" s="1">
        <v>4</v>
      </c>
      <c r="AC18" s="1"/>
      <c r="AD18" s="1"/>
      <c r="AE18" s="1"/>
      <c r="AF18" s="1"/>
    </row>
    <row r="19" spans="1:35" x14ac:dyDescent="0.3">
      <c r="A19" s="96" t="s">
        <v>65</v>
      </c>
      <c r="B19" s="1">
        <v>5</v>
      </c>
      <c r="C19" s="1"/>
      <c r="D19" s="1">
        <v>3</v>
      </c>
      <c r="E19" s="1"/>
      <c r="F19" s="1"/>
      <c r="G19" s="1"/>
      <c r="H19" s="1"/>
      <c r="I19" s="1">
        <v>3</v>
      </c>
      <c r="J19" s="1">
        <v>1</v>
      </c>
      <c r="K19" s="1">
        <v>3</v>
      </c>
      <c r="L19" s="1"/>
      <c r="M19" s="1"/>
      <c r="N19" s="1"/>
      <c r="O19" s="1"/>
      <c r="P19" s="1">
        <v>3</v>
      </c>
      <c r="Q19" s="1"/>
      <c r="R19" s="1">
        <v>3</v>
      </c>
      <c r="S19" s="1"/>
      <c r="T19" s="1"/>
      <c r="U19" s="1"/>
      <c r="V19" s="1"/>
      <c r="W19" s="1">
        <v>4</v>
      </c>
      <c r="X19" s="1"/>
      <c r="Y19" s="1">
        <v>3</v>
      </c>
      <c r="Z19" s="1"/>
      <c r="AA19" s="1"/>
      <c r="AB19" s="1"/>
      <c r="AC19" s="1"/>
      <c r="AD19" s="1"/>
      <c r="AE19" s="1"/>
      <c r="AF19" s="1"/>
    </row>
    <row r="20" spans="1:35" x14ac:dyDescent="0.3">
      <c r="A20" s="96" t="s">
        <v>79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5" x14ac:dyDescent="0.3">
      <c r="A21" s="95" t="s">
        <v>129</v>
      </c>
      <c r="B21" s="1">
        <v>35</v>
      </c>
      <c r="C21" s="1">
        <v>22</v>
      </c>
      <c r="D21" s="1">
        <v>38</v>
      </c>
      <c r="E21" s="1">
        <v>13</v>
      </c>
      <c r="F21" s="1">
        <v>4</v>
      </c>
      <c r="G21" s="1">
        <v>14</v>
      </c>
      <c r="H21" s="1">
        <v>2</v>
      </c>
      <c r="I21" s="1">
        <v>31</v>
      </c>
      <c r="J21" s="1">
        <v>18</v>
      </c>
      <c r="K21" s="1">
        <v>39</v>
      </c>
      <c r="L21" s="1">
        <v>6</v>
      </c>
      <c r="M21" s="1">
        <v>2</v>
      </c>
      <c r="N21" s="1">
        <v>13</v>
      </c>
      <c r="O21" s="1">
        <v>3</v>
      </c>
      <c r="P21" s="1">
        <v>28</v>
      </c>
      <c r="Q21" s="1">
        <v>19</v>
      </c>
      <c r="R21" s="1">
        <v>32</v>
      </c>
      <c r="S21" s="1">
        <v>8</v>
      </c>
      <c r="T21" s="1">
        <v>3</v>
      </c>
      <c r="U21" s="1">
        <v>14</v>
      </c>
      <c r="V21" s="1"/>
      <c r="W21" s="1">
        <v>23</v>
      </c>
      <c r="X21" s="1">
        <v>17</v>
      </c>
      <c r="Y21" s="1">
        <v>40</v>
      </c>
      <c r="Z21" s="1">
        <v>11</v>
      </c>
      <c r="AA21" s="1">
        <v>2</v>
      </c>
      <c r="AB21" s="1">
        <v>14</v>
      </c>
      <c r="AC21" s="1">
        <v>2</v>
      </c>
      <c r="AD21" s="1"/>
      <c r="AE21" s="1"/>
      <c r="AF21" s="1"/>
    </row>
    <row r="22" spans="1:35" x14ac:dyDescent="0.3">
      <c r="A22" s="57" t="s">
        <v>10</v>
      </c>
      <c r="B22" s="58" t="s">
        <v>22</v>
      </c>
      <c r="C22" s="58" t="s">
        <v>23</v>
      </c>
      <c r="D22" s="58" t="s">
        <v>24</v>
      </c>
      <c r="E22" s="58" t="s">
        <v>25</v>
      </c>
      <c r="F22" s="77" t="s">
        <v>26</v>
      </c>
      <c r="G22" s="58" t="s">
        <v>27</v>
      </c>
      <c r="H22" s="58" t="s">
        <v>28</v>
      </c>
      <c r="I22" s="58" t="s">
        <v>29</v>
      </c>
      <c r="J22" s="58" t="s">
        <v>30</v>
      </c>
      <c r="K22" s="58" t="s">
        <v>31</v>
      </c>
      <c r="L22" s="58" t="s">
        <v>32</v>
      </c>
      <c r="M22" s="58" t="s">
        <v>33</v>
      </c>
      <c r="N22" s="58" t="s">
        <v>34</v>
      </c>
      <c r="O22" s="58" t="s">
        <v>35</v>
      </c>
      <c r="P22" s="58" t="s">
        <v>36</v>
      </c>
      <c r="Q22" s="58" t="s">
        <v>37</v>
      </c>
      <c r="R22" s="58" t="s">
        <v>38</v>
      </c>
      <c r="S22" s="58" t="s">
        <v>39</v>
      </c>
      <c r="T22" s="58" t="s">
        <v>40</v>
      </c>
      <c r="U22" s="58" t="s">
        <v>41</v>
      </c>
      <c r="V22" s="58" t="s">
        <v>42</v>
      </c>
      <c r="W22" s="58" t="s">
        <v>43</v>
      </c>
      <c r="X22" s="58" t="s">
        <v>44</v>
      </c>
      <c r="Y22" s="58" t="s">
        <v>45</v>
      </c>
      <c r="Z22" s="58" t="s">
        <v>46</v>
      </c>
      <c r="AA22" s="58" t="s">
        <v>47</v>
      </c>
      <c r="AB22" s="58" t="s">
        <v>48</v>
      </c>
      <c r="AC22" s="58" t="s">
        <v>49</v>
      </c>
      <c r="AD22" s="58" t="s">
        <v>50</v>
      </c>
      <c r="AE22" s="58" t="s">
        <v>51</v>
      </c>
      <c r="AF22" s="58" t="s">
        <v>52</v>
      </c>
      <c r="AG22" s="58" t="s">
        <v>0</v>
      </c>
    </row>
    <row r="23" spans="1:35" x14ac:dyDescent="0.3">
      <c r="A23" s="52" t="str">
        <f>A5</f>
        <v>4 - 5</v>
      </c>
      <c r="B23" s="52">
        <f t="shared" ref="B23:AF23" si="0">IF(GETPIVOTDATA(LEFT(B22,2),$A$3,"Группа","4 - 5","Хореограф","Казанцева Е.М.")&gt;8,GETPIVOTDATA(LEFT(B22,2),$A$3,"Группа","4 - 5","Хореограф","Казанцева Е.М.")*100,IF(GETPIVOTDATA(LEFT(B22,2),$A$3,"Группа","4 - 5","Хореограф","Казанцева Е.М.")&gt;0,800,0))</f>
        <v>800</v>
      </c>
      <c r="C23" s="52">
        <f t="shared" si="0"/>
        <v>0</v>
      </c>
      <c r="D23" s="52">
        <f t="shared" si="0"/>
        <v>800</v>
      </c>
      <c r="E23" s="52">
        <f t="shared" si="0"/>
        <v>0</v>
      </c>
      <c r="F23" s="52">
        <f t="shared" si="0"/>
        <v>0</v>
      </c>
      <c r="G23" s="52">
        <f t="shared" si="0"/>
        <v>0</v>
      </c>
      <c r="H23" s="52">
        <f t="shared" si="0"/>
        <v>0</v>
      </c>
      <c r="I23" s="52">
        <f t="shared" si="0"/>
        <v>800</v>
      </c>
      <c r="J23" s="52">
        <f t="shared" si="0"/>
        <v>0</v>
      </c>
      <c r="K23" s="52">
        <f t="shared" si="0"/>
        <v>800</v>
      </c>
      <c r="L23" s="52">
        <f t="shared" si="0"/>
        <v>0</v>
      </c>
      <c r="M23" s="52">
        <f t="shared" si="0"/>
        <v>0</v>
      </c>
      <c r="N23" s="52">
        <f t="shared" si="0"/>
        <v>0</v>
      </c>
      <c r="O23" s="52">
        <f t="shared" si="0"/>
        <v>0</v>
      </c>
      <c r="P23" s="52">
        <f t="shared" si="0"/>
        <v>800</v>
      </c>
      <c r="Q23" s="52">
        <f t="shared" si="0"/>
        <v>0</v>
      </c>
      <c r="R23" s="52">
        <f t="shared" si="0"/>
        <v>800</v>
      </c>
      <c r="S23" s="52">
        <f t="shared" si="0"/>
        <v>0</v>
      </c>
      <c r="T23" s="52">
        <f t="shared" si="0"/>
        <v>0</v>
      </c>
      <c r="U23" s="52">
        <f t="shared" si="0"/>
        <v>0</v>
      </c>
      <c r="V23" s="52">
        <f t="shared" si="0"/>
        <v>0</v>
      </c>
      <c r="W23" s="52">
        <f t="shared" si="0"/>
        <v>800</v>
      </c>
      <c r="X23" s="52">
        <f t="shared" si="0"/>
        <v>0</v>
      </c>
      <c r="Y23" s="52">
        <f t="shared" si="0"/>
        <v>800</v>
      </c>
      <c r="Z23" s="52">
        <f t="shared" si="0"/>
        <v>0</v>
      </c>
      <c r="AA23" s="52">
        <f t="shared" si="0"/>
        <v>0</v>
      </c>
      <c r="AB23" s="52">
        <f t="shared" si="0"/>
        <v>0</v>
      </c>
      <c r="AC23" s="52">
        <f t="shared" si="0"/>
        <v>0</v>
      </c>
      <c r="AD23" s="52">
        <f t="shared" si="0"/>
        <v>0</v>
      </c>
      <c r="AE23" s="52">
        <f t="shared" si="0"/>
        <v>0</v>
      </c>
      <c r="AF23" s="52">
        <f t="shared" si="0"/>
        <v>0</v>
      </c>
      <c r="AG23" s="52">
        <f>SUM(Зарплата_Казанцева[[#This Row],[01]:[31]])</f>
        <v>6400</v>
      </c>
      <c r="AH23" s="78"/>
    </row>
    <row r="24" spans="1:35" x14ac:dyDescent="0.3">
      <c r="A24" s="52" t="str">
        <f>A6</f>
        <v>5 - 6</v>
      </c>
      <c r="B24" s="52">
        <f t="shared" ref="B24:AF24" si="1">IF(GETPIVOTDATA(LEFT(B22,2),$A$3,"Группа","5 - 6","Хореограф","Казанцева Е.М.")&gt;8,GETPIVOTDATA(LEFT(B22,2),$A$3,"Группа","5 - 6","Хореограф","Казанцева Е.М.")*100,IF(GETPIVOTDATA(LEFT(B22,2),$A$3,"Группа","5 - 6","Хореограф","Казанцева Е.М.")&gt;0,800,0))</f>
        <v>1000</v>
      </c>
      <c r="C24" s="52">
        <f t="shared" si="1"/>
        <v>0</v>
      </c>
      <c r="D24" s="52">
        <f t="shared" si="1"/>
        <v>900</v>
      </c>
      <c r="E24" s="52">
        <f t="shared" si="1"/>
        <v>0</v>
      </c>
      <c r="F24" s="52">
        <f t="shared" si="1"/>
        <v>0</v>
      </c>
      <c r="G24" s="52">
        <f t="shared" si="1"/>
        <v>0</v>
      </c>
      <c r="H24" s="52">
        <f t="shared" si="1"/>
        <v>0</v>
      </c>
      <c r="I24" s="52">
        <f t="shared" si="1"/>
        <v>1000</v>
      </c>
      <c r="J24" s="52">
        <f t="shared" si="1"/>
        <v>0</v>
      </c>
      <c r="K24" s="52">
        <f t="shared" si="1"/>
        <v>1000</v>
      </c>
      <c r="L24" s="52">
        <f t="shared" si="1"/>
        <v>0</v>
      </c>
      <c r="M24" s="52">
        <f t="shared" si="1"/>
        <v>0</v>
      </c>
      <c r="N24" s="52">
        <f t="shared" si="1"/>
        <v>0</v>
      </c>
      <c r="O24" s="52">
        <f t="shared" si="1"/>
        <v>0</v>
      </c>
      <c r="P24" s="52">
        <f t="shared" si="1"/>
        <v>800</v>
      </c>
      <c r="Q24" s="52">
        <f t="shared" si="1"/>
        <v>0</v>
      </c>
      <c r="R24" s="52">
        <f t="shared" si="1"/>
        <v>900</v>
      </c>
      <c r="S24" s="52">
        <f t="shared" si="1"/>
        <v>0</v>
      </c>
      <c r="T24" s="52">
        <f t="shared" si="1"/>
        <v>0</v>
      </c>
      <c r="U24" s="52">
        <f t="shared" si="1"/>
        <v>0</v>
      </c>
      <c r="V24" s="52">
        <f t="shared" si="1"/>
        <v>0</v>
      </c>
      <c r="W24" s="52">
        <f t="shared" si="1"/>
        <v>800</v>
      </c>
      <c r="X24" s="52">
        <f t="shared" si="1"/>
        <v>0</v>
      </c>
      <c r="Y24" s="52">
        <f t="shared" si="1"/>
        <v>1100</v>
      </c>
      <c r="Z24" s="52">
        <f t="shared" si="1"/>
        <v>0</v>
      </c>
      <c r="AA24" s="52">
        <f t="shared" si="1"/>
        <v>0</v>
      </c>
      <c r="AB24" s="52">
        <f t="shared" si="1"/>
        <v>0</v>
      </c>
      <c r="AC24" s="52">
        <f t="shared" si="1"/>
        <v>0</v>
      </c>
      <c r="AD24" s="52">
        <f t="shared" si="1"/>
        <v>0</v>
      </c>
      <c r="AE24" s="52">
        <f t="shared" si="1"/>
        <v>0</v>
      </c>
      <c r="AF24" s="52">
        <f t="shared" si="1"/>
        <v>0</v>
      </c>
      <c r="AG24" s="52">
        <f>SUM(Зарплата_Казанцева[[#This Row],[01]:[31]])</f>
        <v>7500</v>
      </c>
      <c r="AH24" s="78"/>
      <c r="AI24" s="79"/>
    </row>
    <row r="25" spans="1:35" x14ac:dyDescent="0.3">
      <c r="A25" s="52" t="str">
        <f>A7</f>
        <v>7 - 9 В</v>
      </c>
      <c r="B25" s="52">
        <f t="shared" ref="B25:AF25" si="2">IF(GETPIVOTDATA(LEFT(B22,2),$A$3,"Группа","7 - 9 В","Хореограф","Казанцева Е.М.")&gt;8,GETPIVOTDATA(LEFT(B22,2),$A$3,"Группа","7 - 9 В","Хореограф","Казанцева Е.М.")*100,IF(GETPIVOTDATA(LEFT(B22,2),$A$3,"Группа","7 - 9 В","Хореограф","Казанцева Е.М.")&gt;0,800,0))</f>
        <v>0</v>
      </c>
      <c r="C25" s="52">
        <f t="shared" si="2"/>
        <v>800</v>
      </c>
      <c r="D25" s="52">
        <f t="shared" si="2"/>
        <v>0</v>
      </c>
      <c r="E25" s="52">
        <f t="shared" si="2"/>
        <v>900</v>
      </c>
      <c r="F25" s="52">
        <f t="shared" si="2"/>
        <v>0</v>
      </c>
      <c r="G25" s="52">
        <f t="shared" si="2"/>
        <v>0</v>
      </c>
      <c r="H25" s="52">
        <f t="shared" si="2"/>
        <v>0</v>
      </c>
      <c r="I25" s="52">
        <f t="shared" si="2"/>
        <v>0</v>
      </c>
      <c r="J25" s="52">
        <f t="shared" si="2"/>
        <v>800</v>
      </c>
      <c r="K25" s="52">
        <f t="shared" si="2"/>
        <v>0</v>
      </c>
      <c r="L25" s="52">
        <f t="shared" si="2"/>
        <v>800</v>
      </c>
      <c r="M25" s="52">
        <f t="shared" si="2"/>
        <v>0</v>
      </c>
      <c r="N25" s="52">
        <f t="shared" si="2"/>
        <v>0</v>
      </c>
      <c r="O25" s="52">
        <f t="shared" si="2"/>
        <v>0</v>
      </c>
      <c r="P25" s="52">
        <f t="shared" si="2"/>
        <v>0</v>
      </c>
      <c r="Q25" s="52">
        <f t="shared" si="2"/>
        <v>800</v>
      </c>
      <c r="R25" s="52">
        <f t="shared" si="2"/>
        <v>0</v>
      </c>
      <c r="S25" s="52">
        <f t="shared" si="2"/>
        <v>800</v>
      </c>
      <c r="T25" s="52">
        <f t="shared" si="2"/>
        <v>0</v>
      </c>
      <c r="U25" s="52">
        <f t="shared" si="2"/>
        <v>0</v>
      </c>
      <c r="V25" s="52">
        <f t="shared" si="2"/>
        <v>0</v>
      </c>
      <c r="W25" s="52">
        <f t="shared" si="2"/>
        <v>0</v>
      </c>
      <c r="X25" s="52">
        <f t="shared" si="2"/>
        <v>800</v>
      </c>
      <c r="Y25" s="52">
        <f t="shared" si="2"/>
        <v>800</v>
      </c>
      <c r="Z25" s="52">
        <f t="shared" si="2"/>
        <v>800</v>
      </c>
      <c r="AA25" s="52">
        <f t="shared" si="2"/>
        <v>0</v>
      </c>
      <c r="AB25" s="52">
        <f t="shared" si="2"/>
        <v>0</v>
      </c>
      <c r="AC25" s="52">
        <f t="shared" si="2"/>
        <v>0</v>
      </c>
      <c r="AD25" s="52">
        <f t="shared" si="2"/>
        <v>0</v>
      </c>
      <c r="AE25" s="52">
        <f t="shared" si="2"/>
        <v>0</v>
      </c>
      <c r="AF25" s="52">
        <f t="shared" si="2"/>
        <v>0</v>
      </c>
      <c r="AG25" s="52">
        <f>SUM(Зарплата_Казанцева[[#This Row],[01]:[31]])</f>
        <v>7300</v>
      </c>
      <c r="AH25" s="78"/>
      <c r="AI25" s="79"/>
    </row>
    <row r="26" spans="1:35" x14ac:dyDescent="0.3">
      <c r="A26" s="52" t="str">
        <f>A8</f>
        <v>РД</v>
      </c>
      <c r="B26" s="52">
        <f t="shared" ref="B26:AF26" si="3">IF(GETPIVOTDATA(LEFT(B22,2),$A$3,"Группа","РД","Хореограф","Казанцева Е.М.")&gt;8,GETPIVOTDATA(LEFT(B22,2),$A$3,"Группа","РД","Хореограф","Казанцева Е.М.")*100,IF(GETPIVOTDATA(LEFT(B22,2),$A$3,"Группа","РД","Хореограф","Казанцева Е.М.")&gt;0,800,0))</f>
        <v>0</v>
      </c>
      <c r="C26" s="52">
        <f t="shared" si="3"/>
        <v>0</v>
      </c>
      <c r="D26" s="52">
        <f t="shared" si="3"/>
        <v>0</v>
      </c>
      <c r="E26" s="52">
        <f t="shared" si="3"/>
        <v>0</v>
      </c>
      <c r="F26" s="52">
        <f t="shared" si="3"/>
        <v>800</v>
      </c>
      <c r="G26" s="52">
        <f t="shared" si="3"/>
        <v>0</v>
      </c>
      <c r="H26" s="52">
        <f t="shared" si="3"/>
        <v>0</v>
      </c>
      <c r="I26" s="52">
        <f t="shared" si="3"/>
        <v>0</v>
      </c>
      <c r="J26" s="52">
        <f t="shared" si="3"/>
        <v>0</v>
      </c>
      <c r="K26" s="52">
        <f t="shared" si="3"/>
        <v>0</v>
      </c>
      <c r="L26" s="52">
        <f t="shared" si="3"/>
        <v>0</v>
      </c>
      <c r="M26" s="52">
        <f t="shared" si="3"/>
        <v>800</v>
      </c>
      <c r="N26" s="52">
        <f t="shared" si="3"/>
        <v>0</v>
      </c>
      <c r="O26" s="52">
        <f t="shared" si="3"/>
        <v>0</v>
      </c>
      <c r="P26" s="52">
        <f t="shared" si="3"/>
        <v>0</v>
      </c>
      <c r="Q26" s="52">
        <f t="shared" si="3"/>
        <v>0</v>
      </c>
      <c r="R26" s="52">
        <f t="shared" si="3"/>
        <v>0</v>
      </c>
      <c r="S26" s="52">
        <f t="shared" si="3"/>
        <v>0</v>
      </c>
      <c r="T26" s="52">
        <f t="shared" si="3"/>
        <v>800</v>
      </c>
      <c r="U26" s="52">
        <f t="shared" si="3"/>
        <v>0</v>
      </c>
      <c r="V26" s="52">
        <f t="shared" si="3"/>
        <v>0</v>
      </c>
      <c r="W26" s="52">
        <f t="shared" si="3"/>
        <v>0</v>
      </c>
      <c r="X26" s="52">
        <f t="shared" si="3"/>
        <v>0</v>
      </c>
      <c r="Y26" s="52">
        <f t="shared" si="3"/>
        <v>0</v>
      </c>
      <c r="Z26" s="52">
        <f t="shared" si="3"/>
        <v>0</v>
      </c>
      <c r="AA26" s="52">
        <f t="shared" si="3"/>
        <v>800</v>
      </c>
      <c r="AB26" s="52">
        <f t="shared" si="3"/>
        <v>0</v>
      </c>
      <c r="AC26" s="52">
        <f t="shared" si="3"/>
        <v>0</v>
      </c>
      <c r="AD26" s="52">
        <f t="shared" si="3"/>
        <v>0</v>
      </c>
      <c r="AE26" s="52">
        <f t="shared" si="3"/>
        <v>0</v>
      </c>
      <c r="AF26" s="52">
        <f t="shared" si="3"/>
        <v>0</v>
      </c>
      <c r="AG26" s="52">
        <f>SUM(Зарплата_Казанцева[[#This Row],[01]:[31]])</f>
        <v>3200</v>
      </c>
      <c r="AH26" s="78"/>
      <c r="AI26" s="79"/>
    </row>
    <row r="27" spans="1:35" x14ac:dyDescent="0.3">
      <c r="A27" s="80" t="s">
        <v>14</v>
      </c>
      <c r="B27" s="80">
        <f>SUBTOTAL(109,Зарплата_Казанцева[01])</f>
        <v>1800</v>
      </c>
      <c r="C27" s="80">
        <f>SUBTOTAL(109,Зарплата_Казанцева[02])</f>
        <v>800</v>
      </c>
      <c r="D27" s="80">
        <f>SUBTOTAL(109,Зарплата_Казанцева[03])</f>
        <v>1700</v>
      </c>
      <c r="E27" s="80">
        <f>SUBTOTAL(109,Зарплата_Казанцева[04])</f>
        <v>900</v>
      </c>
      <c r="F27" s="80">
        <f>SUBTOTAL(109,Зарплата_Казанцева[05])</f>
        <v>800</v>
      </c>
      <c r="G27" s="80">
        <f>SUBTOTAL(109,Зарплата_Казанцева[06])</f>
        <v>0</v>
      </c>
      <c r="H27" s="80">
        <f>SUBTOTAL(109,Зарплата_Казанцева[07])</f>
        <v>0</v>
      </c>
      <c r="I27" s="80">
        <f>SUBTOTAL(109,Зарплата_Казанцева[08])</f>
        <v>1800</v>
      </c>
      <c r="J27" s="80">
        <f>SUBTOTAL(109,Зарплата_Казанцева[09])</f>
        <v>800</v>
      </c>
      <c r="K27" s="80">
        <f>SUBTOTAL(109,Зарплата_Казанцева[10])</f>
        <v>1800</v>
      </c>
      <c r="L27" s="80">
        <f>SUBTOTAL(109,Зарплата_Казанцева[11])</f>
        <v>800</v>
      </c>
      <c r="M27" s="80">
        <f>SUBTOTAL(109,Зарплата_Казанцева[12])</f>
        <v>800</v>
      </c>
      <c r="N27" s="80">
        <f>SUBTOTAL(109,Зарплата_Казанцева[13])</f>
        <v>0</v>
      </c>
      <c r="O27" s="80">
        <f>SUBTOTAL(109,Зарплата_Казанцева[14])</f>
        <v>0</v>
      </c>
      <c r="P27" s="80">
        <f>SUBTOTAL(109,Зарплата_Казанцева[15])</f>
        <v>1600</v>
      </c>
      <c r="Q27" s="80">
        <f>SUBTOTAL(109,Зарплата_Казанцева[16])</f>
        <v>800</v>
      </c>
      <c r="R27" s="80">
        <f>SUBTOTAL(109,Зарплата_Казанцева[17])</f>
        <v>1700</v>
      </c>
      <c r="S27" s="80">
        <f>SUBTOTAL(109,Зарплата_Казанцева[18])</f>
        <v>800</v>
      </c>
      <c r="T27" s="80">
        <f>SUBTOTAL(109,Зарплата_Казанцева[19])</f>
        <v>800</v>
      </c>
      <c r="U27" s="80">
        <f>SUBTOTAL(109,Зарплата_Казанцева[20])</f>
        <v>0</v>
      </c>
      <c r="V27" s="80">
        <f>SUBTOTAL(109,Зарплата_Казанцева[21])</f>
        <v>0</v>
      </c>
      <c r="W27" s="80">
        <f>SUBTOTAL(109,Зарплата_Казанцева[22])</f>
        <v>1600</v>
      </c>
      <c r="X27" s="80">
        <f>SUBTOTAL(109,Зарплата_Казанцева[23])</f>
        <v>800</v>
      </c>
      <c r="Y27" s="80">
        <f>SUBTOTAL(109,Зарплата_Казанцева[24])</f>
        <v>2700</v>
      </c>
      <c r="Z27" s="80">
        <f>SUBTOTAL(109,Зарплата_Казанцева[25])</f>
        <v>800</v>
      </c>
      <c r="AA27" s="80">
        <f>SUBTOTAL(109,Зарплата_Казанцева[26])</f>
        <v>800</v>
      </c>
      <c r="AB27" s="80">
        <f>SUBTOTAL(109,Зарплата_Казанцева[27])</f>
        <v>0</v>
      </c>
      <c r="AC27" s="80">
        <f>SUBTOTAL(109,Зарплата_Казанцева[28])</f>
        <v>0</v>
      </c>
      <c r="AD27" s="80">
        <f>SUBTOTAL(109,Зарплата_Казанцева[29])</f>
        <v>0</v>
      </c>
      <c r="AE27" s="80">
        <f>SUBTOTAL(109,Зарплата_Казанцева[30])</f>
        <v>0</v>
      </c>
      <c r="AF27" s="80">
        <f>SUBTOTAL(109,Зарплата_Казанцева[31])</f>
        <v>0</v>
      </c>
      <c r="AG27" s="81">
        <f>SUBTOTAL(109,Зарплата_Казанцева[Всего])</f>
        <v>24400</v>
      </c>
      <c r="AH27" s="78"/>
      <c r="AI27" s="79"/>
    </row>
    <row r="28" spans="1:35" ht="15" thickBot="1" x14ac:dyDescent="0.35">
      <c r="A28" s="57" t="s">
        <v>72</v>
      </c>
      <c r="B28" s="82" t="s">
        <v>22</v>
      </c>
      <c r="C28" s="82" t="s">
        <v>23</v>
      </c>
      <c r="D28" s="82" t="s">
        <v>24</v>
      </c>
      <c r="E28" s="82" t="s">
        <v>25</v>
      </c>
      <c r="F28" s="83" t="s">
        <v>26</v>
      </c>
      <c r="G28" s="82" t="s">
        <v>27</v>
      </c>
      <c r="H28" s="82" t="s">
        <v>28</v>
      </c>
      <c r="I28" s="82" t="s">
        <v>29</v>
      </c>
      <c r="J28" s="82" t="s">
        <v>30</v>
      </c>
      <c r="K28" s="82" t="s">
        <v>31</v>
      </c>
      <c r="L28" s="82" t="s">
        <v>32</v>
      </c>
      <c r="M28" s="82" t="s">
        <v>33</v>
      </c>
      <c r="N28" s="82" t="s">
        <v>34</v>
      </c>
      <c r="O28" s="82" t="s">
        <v>35</v>
      </c>
      <c r="P28" s="82" t="s">
        <v>36</v>
      </c>
      <c r="Q28" s="82" t="s">
        <v>37</v>
      </c>
      <c r="R28" s="82" t="s">
        <v>38</v>
      </c>
      <c r="S28" s="82" t="s">
        <v>39</v>
      </c>
      <c r="T28" s="82" t="s">
        <v>40</v>
      </c>
      <c r="U28" s="82" t="s">
        <v>41</v>
      </c>
      <c r="V28" s="82" t="s">
        <v>42</v>
      </c>
      <c r="W28" s="82" t="s">
        <v>43</v>
      </c>
      <c r="X28" s="82" t="s">
        <v>44</v>
      </c>
      <c r="Y28" s="82" t="s">
        <v>45</v>
      </c>
      <c r="Z28" s="82" t="s">
        <v>46</v>
      </c>
      <c r="AA28" s="82" t="s">
        <v>47</v>
      </c>
      <c r="AB28" s="82" t="s">
        <v>48</v>
      </c>
      <c r="AC28" s="82" t="s">
        <v>49</v>
      </c>
      <c r="AD28" s="82" t="s">
        <v>50</v>
      </c>
      <c r="AE28" s="82" t="s">
        <v>51</v>
      </c>
      <c r="AF28" s="82" t="s">
        <v>52</v>
      </c>
      <c r="AG28" s="82" t="s">
        <v>0</v>
      </c>
      <c r="AH28" s="78"/>
    </row>
    <row r="29" spans="1:35" x14ac:dyDescent="0.3">
      <c r="A29" s="52" t="str">
        <f>A10</f>
        <v>3 - 4</v>
      </c>
      <c r="B29" s="52">
        <f t="shared" ref="B29:AF29" si="4">IF(GETPIVOTDATA(LEFT(B22,2),$A$3,"Группа","Парные","Хореограф","Павленко А.А.")&gt;8,GETPIVOTDATA(LEFT(B22,2),$A$3,"Группа","Парные","Хореограф","Павленко А.А.")*100,IF(GETPIVOTDATA(LEFT(B22,2),$A$3,"Группа","Парные","Хореограф","Павленко А.А.")&gt;0,800,0))</f>
        <v>0</v>
      </c>
      <c r="C29" s="52">
        <f t="shared" si="4"/>
        <v>0</v>
      </c>
      <c r="D29" s="52">
        <f t="shared" si="4"/>
        <v>0</v>
      </c>
      <c r="E29" s="52">
        <f t="shared" si="4"/>
        <v>0</v>
      </c>
      <c r="F29" s="52">
        <f t="shared" si="4"/>
        <v>800</v>
      </c>
      <c r="G29" s="52">
        <f t="shared" si="4"/>
        <v>0</v>
      </c>
      <c r="H29" s="52">
        <f t="shared" si="4"/>
        <v>800</v>
      </c>
      <c r="I29" s="52">
        <f t="shared" si="4"/>
        <v>0</v>
      </c>
      <c r="J29" s="52">
        <f t="shared" si="4"/>
        <v>0</v>
      </c>
      <c r="K29" s="52">
        <f t="shared" si="4"/>
        <v>0</v>
      </c>
      <c r="L29" s="52">
        <f t="shared" si="4"/>
        <v>0</v>
      </c>
      <c r="M29" s="52">
        <f t="shared" si="4"/>
        <v>0</v>
      </c>
      <c r="N29" s="52">
        <f t="shared" si="4"/>
        <v>0</v>
      </c>
      <c r="O29" s="52">
        <f t="shared" si="4"/>
        <v>800</v>
      </c>
      <c r="P29" s="52">
        <f t="shared" si="4"/>
        <v>0</v>
      </c>
      <c r="Q29" s="52">
        <f t="shared" si="4"/>
        <v>0</v>
      </c>
      <c r="R29" s="52">
        <f t="shared" si="4"/>
        <v>0</v>
      </c>
      <c r="S29" s="52">
        <f t="shared" si="4"/>
        <v>0</v>
      </c>
      <c r="T29" s="52">
        <f t="shared" si="4"/>
        <v>0</v>
      </c>
      <c r="U29" s="52">
        <f t="shared" si="4"/>
        <v>0</v>
      </c>
      <c r="V29" s="52">
        <f t="shared" si="4"/>
        <v>0</v>
      </c>
      <c r="W29" s="52">
        <f t="shared" si="4"/>
        <v>0</v>
      </c>
      <c r="X29" s="52">
        <f t="shared" si="4"/>
        <v>0</v>
      </c>
      <c r="Y29" s="52">
        <f t="shared" si="4"/>
        <v>0</v>
      </c>
      <c r="Z29" s="52">
        <f t="shared" si="4"/>
        <v>0</v>
      </c>
      <c r="AA29" s="52">
        <f t="shared" si="4"/>
        <v>0</v>
      </c>
      <c r="AB29" s="52">
        <f t="shared" si="4"/>
        <v>0</v>
      </c>
      <c r="AC29" s="52">
        <f t="shared" si="4"/>
        <v>800</v>
      </c>
      <c r="AD29" s="52">
        <f t="shared" si="4"/>
        <v>0</v>
      </c>
      <c r="AE29" s="52">
        <f t="shared" si="4"/>
        <v>0</v>
      </c>
      <c r="AF29" s="52">
        <f t="shared" si="4"/>
        <v>0</v>
      </c>
      <c r="AG29" s="52">
        <f>SUM(Зарплата_Павленко[[#This Row],[01]:[31]])</f>
        <v>3200</v>
      </c>
      <c r="AH29" s="78"/>
      <c r="AI29" s="79"/>
    </row>
    <row r="30" spans="1:35" x14ac:dyDescent="0.3">
      <c r="A30" s="52" t="str">
        <f>A11</f>
        <v>Парные</v>
      </c>
      <c r="B30" s="52">
        <f t="shared" ref="B30:AF30" si="5">IF(GETPIVOTDATA(LEFT(B22,2),$A$3,"Группа","3 - 4","Хореограф","Павленко А.А.")&gt;8,GETPIVOTDATA(LEFT(B22,2),$A$3,"Группа","3 - 4","Хореограф","Павленко А.А.")*100,IF(GETPIVOTDATA(LEFT(B22,2),$A$3,"Группа","3 - 4","Хореограф","Павленко А.А.")&gt;0,800,0))</f>
        <v>0</v>
      </c>
      <c r="C30" s="52">
        <f t="shared" si="5"/>
        <v>800</v>
      </c>
      <c r="D30" s="52">
        <f t="shared" si="5"/>
        <v>0</v>
      </c>
      <c r="E30" s="52">
        <f t="shared" si="5"/>
        <v>800</v>
      </c>
      <c r="F30" s="52">
        <f t="shared" si="5"/>
        <v>0</v>
      </c>
      <c r="G30" s="52">
        <f t="shared" si="5"/>
        <v>0</v>
      </c>
      <c r="H30" s="52">
        <f t="shared" si="5"/>
        <v>0</v>
      </c>
      <c r="I30" s="52">
        <f t="shared" si="5"/>
        <v>0</v>
      </c>
      <c r="J30" s="52">
        <f t="shared" si="5"/>
        <v>800</v>
      </c>
      <c r="K30" s="52">
        <f t="shared" si="5"/>
        <v>0</v>
      </c>
      <c r="L30" s="52">
        <f t="shared" si="5"/>
        <v>800</v>
      </c>
      <c r="M30" s="52">
        <f t="shared" si="5"/>
        <v>0</v>
      </c>
      <c r="N30" s="52">
        <f t="shared" si="5"/>
        <v>0</v>
      </c>
      <c r="O30" s="52">
        <f t="shared" si="5"/>
        <v>0</v>
      </c>
      <c r="P30" s="52">
        <f t="shared" si="5"/>
        <v>0</v>
      </c>
      <c r="Q30" s="52">
        <f t="shared" si="5"/>
        <v>800</v>
      </c>
      <c r="R30" s="52">
        <f t="shared" si="5"/>
        <v>0</v>
      </c>
      <c r="S30" s="52">
        <f t="shared" si="5"/>
        <v>800</v>
      </c>
      <c r="T30" s="52">
        <f t="shared" si="5"/>
        <v>0</v>
      </c>
      <c r="U30" s="52">
        <f t="shared" si="5"/>
        <v>0</v>
      </c>
      <c r="V30" s="52">
        <f t="shared" si="5"/>
        <v>0</v>
      </c>
      <c r="W30" s="52">
        <f t="shared" si="5"/>
        <v>0</v>
      </c>
      <c r="X30" s="52">
        <f t="shared" si="5"/>
        <v>800</v>
      </c>
      <c r="Y30" s="52">
        <f t="shared" si="5"/>
        <v>0</v>
      </c>
      <c r="Z30" s="52">
        <f t="shared" si="5"/>
        <v>800</v>
      </c>
      <c r="AA30" s="52">
        <f t="shared" si="5"/>
        <v>0</v>
      </c>
      <c r="AB30" s="52">
        <f t="shared" si="5"/>
        <v>0</v>
      </c>
      <c r="AC30" s="52">
        <f t="shared" si="5"/>
        <v>0</v>
      </c>
      <c r="AD30" s="52">
        <f t="shared" si="5"/>
        <v>0</v>
      </c>
      <c r="AE30" s="52">
        <f t="shared" si="5"/>
        <v>0</v>
      </c>
      <c r="AF30" s="52">
        <f t="shared" si="5"/>
        <v>0</v>
      </c>
      <c r="AG30" s="52">
        <f>SUM(Зарплата_Павленко[[#This Row],[01]:[31]])</f>
        <v>6400</v>
      </c>
      <c r="AH30" s="78"/>
      <c r="AI30" s="79"/>
    </row>
    <row r="31" spans="1:35" x14ac:dyDescent="0.3">
      <c r="A31" s="80" t="s">
        <v>14</v>
      </c>
      <c r="B31" s="80">
        <f>SUBTOTAL(109,Зарплата_Павленко[01])</f>
        <v>0</v>
      </c>
      <c r="C31" s="80">
        <f>SUBTOTAL(109,Зарплата_Павленко[02])</f>
        <v>800</v>
      </c>
      <c r="D31" s="80">
        <f>SUBTOTAL(109,Зарплата_Павленко[03])</f>
        <v>0</v>
      </c>
      <c r="E31" s="80">
        <f>SUBTOTAL(109,Зарплата_Павленко[04])</f>
        <v>800</v>
      </c>
      <c r="F31" s="80">
        <f>SUBTOTAL(109,Зарплата_Павленко[05])</f>
        <v>800</v>
      </c>
      <c r="G31" s="80">
        <f>SUBTOTAL(109,Зарплата_Павленко[06])</f>
        <v>0</v>
      </c>
      <c r="H31" s="80">
        <f>SUBTOTAL(109,Зарплата_Павленко[07])</f>
        <v>800</v>
      </c>
      <c r="I31" s="80">
        <f>SUBTOTAL(109,Зарплата_Павленко[08])</f>
        <v>0</v>
      </c>
      <c r="J31" s="80">
        <f>SUBTOTAL(109,Зарплата_Павленко[09])</f>
        <v>800</v>
      </c>
      <c r="K31" s="80">
        <f>SUBTOTAL(109,Зарплата_Павленко[10])</f>
        <v>0</v>
      </c>
      <c r="L31" s="80">
        <f>SUBTOTAL(109,Зарплата_Павленко[11])</f>
        <v>800</v>
      </c>
      <c r="M31" s="80">
        <f>SUBTOTAL(109,Зарплата_Павленко[12])</f>
        <v>0</v>
      </c>
      <c r="N31" s="80">
        <f>SUBTOTAL(109,Зарплата_Павленко[13])</f>
        <v>0</v>
      </c>
      <c r="O31" s="80">
        <f>SUBTOTAL(109,Зарплата_Павленко[14])</f>
        <v>800</v>
      </c>
      <c r="P31" s="80">
        <f>SUBTOTAL(109,Зарплата_Павленко[15])</f>
        <v>0</v>
      </c>
      <c r="Q31" s="80">
        <f>SUBTOTAL(109,Зарплата_Павленко[16])</f>
        <v>800</v>
      </c>
      <c r="R31" s="80">
        <f>SUBTOTAL(109,Зарплата_Павленко[17])</f>
        <v>0</v>
      </c>
      <c r="S31" s="80">
        <f>SUBTOTAL(109,Зарплата_Павленко[18])</f>
        <v>800</v>
      </c>
      <c r="T31" s="80">
        <f>SUBTOTAL(109,Зарплата_Павленко[19])</f>
        <v>0</v>
      </c>
      <c r="U31" s="80">
        <f>SUBTOTAL(109,Зарплата_Павленко[20])</f>
        <v>0</v>
      </c>
      <c r="V31" s="80">
        <f>SUBTOTAL(109,Зарплата_Павленко[21])</f>
        <v>0</v>
      </c>
      <c r="W31" s="80">
        <f>SUBTOTAL(109,Зарплата_Павленко[22])</f>
        <v>0</v>
      </c>
      <c r="X31" s="80">
        <f>SUBTOTAL(109,Зарплата_Павленко[23])</f>
        <v>800</v>
      </c>
      <c r="Y31" s="80">
        <f>SUBTOTAL(109,Зарплата_Павленко[24])</f>
        <v>0</v>
      </c>
      <c r="Z31" s="80">
        <f>SUBTOTAL(109,Зарплата_Павленко[25])</f>
        <v>800</v>
      </c>
      <c r="AA31" s="80">
        <f>SUBTOTAL(109,Зарплата_Павленко[26])</f>
        <v>0</v>
      </c>
      <c r="AB31" s="80">
        <f>SUBTOTAL(109,Зарплата_Павленко[27])</f>
        <v>0</v>
      </c>
      <c r="AC31" s="80">
        <f>SUBTOTAL(109,Зарплата_Павленко[28])</f>
        <v>800</v>
      </c>
      <c r="AD31" s="80">
        <f>SUBTOTAL(109,Зарплата_Павленко[29])</f>
        <v>0</v>
      </c>
      <c r="AE31" s="80">
        <f>SUBTOTAL(109,Зарплата_Павленко[30])</f>
        <v>0</v>
      </c>
      <c r="AF31" s="80">
        <f>SUBTOTAL(109,Зарплата_Павленко[31])</f>
        <v>0</v>
      </c>
      <c r="AG31" s="81">
        <f>SUBTOTAL(109,Зарплата_Павленко[Всего])</f>
        <v>9600</v>
      </c>
      <c r="AH31" s="78"/>
    </row>
    <row r="32" spans="1:35" ht="15" thickBot="1" x14ac:dyDescent="0.35">
      <c r="A32" s="57" t="s">
        <v>56</v>
      </c>
      <c r="B32" s="82" t="s">
        <v>22</v>
      </c>
      <c r="C32" s="82" t="s">
        <v>23</v>
      </c>
      <c r="D32" s="82" t="s">
        <v>24</v>
      </c>
      <c r="E32" s="82" t="s">
        <v>25</v>
      </c>
      <c r="F32" s="83" t="s">
        <v>26</v>
      </c>
      <c r="G32" s="82" t="s">
        <v>27</v>
      </c>
      <c r="H32" s="82" t="s">
        <v>28</v>
      </c>
      <c r="I32" s="82" t="s">
        <v>29</v>
      </c>
      <c r="J32" s="82" t="s">
        <v>30</v>
      </c>
      <c r="K32" s="82" t="s">
        <v>31</v>
      </c>
      <c r="L32" s="82" t="s">
        <v>32</v>
      </c>
      <c r="M32" s="82" t="s">
        <v>33</v>
      </c>
      <c r="N32" s="82" t="s">
        <v>34</v>
      </c>
      <c r="O32" s="82" t="s">
        <v>35</v>
      </c>
      <c r="P32" s="82" t="s">
        <v>36</v>
      </c>
      <c r="Q32" s="82" t="s">
        <v>37</v>
      </c>
      <c r="R32" s="82" t="s">
        <v>38</v>
      </c>
      <c r="S32" s="82" t="s">
        <v>39</v>
      </c>
      <c r="T32" s="82" t="s">
        <v>40</v>
      </c>
      <c r="U32" s="82" t="s">
        <v>41</v>
      </c>
      <c r="V32" s="82" t="s">
        <v>42</v>
      </c>
      <c r="W32" s="82" t="s">
        <v>43</v>
      </c>
      <c r="X32" s="82" t="s">
        <v>44</v>
      </c>
      <c r="Y32" s="82" t="s">
        <v>45</v>
      </c>
      <c r="Z32" s="82" t="s">
        <v>46</v>
      </c>
      <c r="AA32" s="82" t="s">
        <v>47</v>
      </c>
      <c r="AB32" s="82" t="s">
        <v>48</v>
      </c>
      <c r="AC32" s="82" t="s">
        <v>49</v>
      </c>
      <c r="AD32" s="82" t="s">
        <v>50</v>
      </c>
      <c r="AE32" s="82" t="s">
        <v>51</v>
      </c>
      <c r="AF32" s="82" t="s">
        <v>52</v>
      </c>
      <c r="AG32" s="82" t="s">
        <v>0</v>
      </c>
      <c r="AH32" s="78"/>
      <c r="AI32" s="79"/>
    </row>
    <row r="33" spans="1:35" x14ac:dyDescent="0.3">
      <c r="A33" s="52" t="str">
        <f t="shared" ref="A33:A39" si="6">A13</f>
        <v>10 - 14</v>
      </c>
      <c r="B33" s="52">
        <f t="shared" ref="B33:AF33" si="7">IF(GETPIVOTDATA(LEFT(B22,2),$A$3,"Группа","10 - 14","Хореограф","Яковлева В.Г.")&gt;8,GETPIVOTDATA(LEFT(B22,2),$A$3,"Группа","10 - 14","Хореограф","Яковлева В.Г.")*100,IF(GETPIVOTDATA(LEFT(B22,2),$A$3,"Группа","10 - 14","Хореограф","Яковлева В.Г.")&gt;0,800,0))</f>
        <v>800</v>
      </c>
      <c r="C33" s="52">
        <f t="shared" si="7"/>
        <v>0</v>
      </c>
      <c r="D33" s="52">
        <f t="shared" si="7"/>
        <v>800</v>
      </c>
      <c r="E33" s="52">
        <f t="shared" si="7"/>
        <v>0</v>
      </c>
      <c r="F33" s="52">
        <f t="shared" si="7"/>
        <v>0</v>
      </c>
      <c r="G33" s="52">
        <f t="shared" si="7"/>
        <v>0</v>
      </c>
      <c r="H33" s="52">
        <f t="shared" si="7"/>
        <v>0</v>
      </c>
      <c r="I33" s="52">
        <f t="shared" si="7"/>
        <v>800</v>
      </c>
      <c r="J33" s="52">
        <f t="shared" si="7"/>
        <v>0</v>
      </c>
      <c r="K33" s="52">
        <f t="shared" si="7"/>
        <v>800</v>
      </c>
      <c r="L33" s="52">
        <f t="shared" si="7"/>
        <v>0</v>
      </c>
      <c r="M33" s="52">
        <f t="shared" si="7"/>
        <v>0</v>
      </c>
      <c r="N33" s="52">
        <f t="shared" si="7"/>
        <v>0</v>
      </c>
      <c r="O33" s="52">
        <f t="shared" si="7"/>
        <v>0</v>
      </c>
      <c r="P33" s="52">
        <f t="shared" si="7"/>
        <v>800</v>
      </c>
      <c r="Q33" s="52">
        <f t="shared" si="7"/>
        <v>0</v>
      </c>
      <c r="R33" s="52">
        <f t="shared" si="7"/>
        <v>800</v>
      </c>
      <c r="S33" s="52">
        <f t="shared" si="7"/>
        <v>0</v>
      </c>
      <c r="T33" s="52">
        <f t="shared" si="7"/>
        <v>0</v>
      </c>
      <c r="U33" s="52">
        <f t="shared" si="7"/>
        <v>0</v>
      </c>
      <c r="V33" s="52">
        <f t="shared" si="7"/>
        <v>0</v>
      </c>
      <c r="W33" s="52">
        <f t="shared" si="7"/>
        <v>800</v>
      </c>
      <c r="X33" s="52">
        <f t="shared" si="7"/>
        <v>0</v>
      </c>
      <c r="Y33" s="52">
        <f t="shared" si="7"/>
        <v>800</v>
      </c>
      <c r="Z33" s="52">
        <f t="shared" si="7"/>
        <v>0</v>
      </c>
      <c r="AA33" s="52">
        <f t="shared" si="7"/>
        <v>0</v>
      </c>
      <c r="AB33" s="52">
        <f t="shared" si="7"/>
        <v>0</v>
      </c>
      <c r="AC33" s="52">
        <f t="shared" si="7"/>
        <v>0</v>
      </c>
      <c r="AD33" s="52">
        <f t="shared" si="7"/>
        <v>0</v>
      </c>
      <c r="AE33" s="52">
        <f t="shared" si="7"/>
        <v>0</v>
      </c>
      <c r="AF33" s="52">
        <f t="shared" si="7"/>
        <v>0</v>
      </c>
      <c r="AG33" s="52">
        <f>SUM(Зарплата_Яковлева[[#This Row],[01]:[31]])</f>
        <v>6400</v>
      </c>
      <c r="AH33" s="78"/>
      <c r="AI33" s="79"/>
    </row>
    <row r="34" spans="1:35" x14ac:dyDescent="0.3">
      <c r="A34" s="52" t="str">
        <f t="shared" si="6"/>
        <v>7 - 9 У</v>
      </c>
      <c r="B34" s="52">
        <f t="shared" ref="B34:AF34" si="8">IF(GETPIVOTDATA(LEFT(B22,2),$A$3,"Группа","7 - 9 У","Хореограф","Яковлева В.Г.")&gt;8,GETPIVOTDATA(LEFT(B22,2),$A$3,"Группа","7 - 9 У","Хореограф","Яковлева В.Г.")*100,IF(GETPIVOTDATA(LEFT(B22,2),$A$3,"Группа","7 - 9 У","Хореограф","Яковлева В.Г.")&gt;0,800,0))</f>
        <v>800</v>
      </c>
      <c r="C34" s="52">
        <f t="shared" si="8"/>
        <v>0</v>
      </c>
      <c r="D34" s="52">
        <f t="shared" si="8"/>
        <v>800</v>
      </c>
      <c r="E34" s="52">
        <f t="shared" si="8"/>
        <v>0</v>
      </c>
      <c r="F34" s="52">
        <f t="shared" si="8"/>
        <v>0</v>
      </c>
      <c r="G34" s="52">
        <f t="shared" si="8"/>
        <v>0</v>
      </c>
      <c r="H34" s="52">
        <f t="shared" si="8"/>
        <v>0</v>
      </c>
      <c r="I34" s="52">
        <f t="shared" si="8"/>
        <v>800</v>
      </c>
      <c r="J34" s="52">
        <f t="shared" si="8"/>
        <v>0</v>
      </c>
      <c r="K34" s="52">
        <f t="shared" si="8"/>
        <v>800</v>
      </c>
      <c r="L34" s="52">
        <f t="shared" si="8"/>
        <v>0</v>
      </c>
      <c r="M34" s="52">
        <f t="shared" si="8"/>
        <v>0</v>
      </c>
      <c r="N34" s="52">
        <f t="shared" si="8"/>
        <v>0</v>
      </c>
      <c r="O34" s="52">
        <f t="shared" si="8"/>
        <v>0</v>
      </c>
      <c r="P34" s="52">
        <f t="shared" si="8"/>
        <v>0</v>
      </c>
      <c r="Q34" s="52">
        <f t="shared" si="8"/>
        <v>0</v>
      </c>
      <c r="R34" s="52">
        <f t="shared" si="8"/>
        <v>0</v>
      </c>
      <c r="S34" s="52">
        <f t="shared" si="8"/>
        <v>0</v>
      </c>
      <c r="T34" s="52">
        <f t="shared" si="8"/>
        <v>0</v>
      </c>
      <c r="U34" s="52">
        <f t="shared" si="8"/>
        <v>0</v>
      </c>
      <c r="V34" s="52">
        <f t="shared" si="8"/>
        <v>0</v>
      </c>
      <c r="W34" s="52">
        <f t="shared" si="8"/>
        <v>0</v>
      </c>
      <c r="X34" s="52">
        <f t="shared" si="8"/>
        <v>0</v>
      </c>
      <c r="Y34" s="52">
        <f t="shared" si="8"/>
        <v>0</v>
      </c>
      <c r="Z34" s="52">
        <f t="shared" si="8"/>
        <v>0</v>
      </c>
      <c r="AA34" s="52">
        <f t="shared" si="8"/>
        <v>0</v>
      </c>
      <c r="AB34" s="52">
        <f t="shared" si="8"/>
        <v>0</v>
      </c>
      <c r="AC34" s="52">
        <f t="shared" si="8"/>
        <v>0</v>
      </c>
      <c r="AD34" s="52">
        <f t="shared" si="8"/>
        <v>0</v>
      </c>
      <c r="AE34" s="52">
        <f t="shared" si="8"/>
        <v>0</v>
      </c>
      <c r="AF34" s="52">
        <f t="shared" si="8"/>
        <v>0</v>
      </c>
      <c r="AG34" s="52">
        <f>SUM(Зарплата_Яковлева[[#This Row],[01]:[31]])</f>
        <v>3200</v>
      </c>
      <c r="AH34" s="78"/>
      <c r="AI34" s="79"/>
    </row>
    <row r="35" spans="1:35" x14ac:dyDescent="0.3">
      <c r="A35" s="52" t="str">
        <f t="shared" si="6"/>
        <v>ДФ</v>
      </c>
      <c r="B35" s="52">
        <f t="shared" ref="B35:AF35" si="9">IF(GETPIVOTDATA(LEFT(B22,2),$A$3,"Группа","ДФ","Хореограф","Яковлева В.Г.")&gt;8,GETPIVOTDATA(LEFT(B22,2),$A$3,"Группа","ДФ","Хореограф","Яковлева В.Г.")*100,IF(GETPIVOTDATA(LEFT(B22,2),$A$3,"Группа","ДФ","Хореограф","Яковлева В.Г.")&gt;0,800,0))</f>
        <v>0</v>
      </c>
      <c r="C35" s="52">
        <f t="shared" si="9"/>
        <v>0</v>
      </c>
      <c r="D35" s="52">
        <f t="shared" si="9"/>
        <v>0</v>
      </c>
      <c r="E35" s="52">
        <f t="shared" si="9"/>
        <v>0</v>
      </c>
      <c r="F35" s="52">
        <f t="shared" si="9"/>
        <v>0</v>
      </c>
      <c r="G35" s="52">
        <f t="shared" si="9"/>
        <v>0</v>
      </c>
      <c r="H35" s="52">
        <f t="shared" si="9"/>
        <v>0</v>
      </c>
      <c r="I35" s="52">
        <f t="shared" si="9"/>
        <v>0</v>
      </c>
      <c r="J35" s="52">
        <f t="shared" si="9"/>
        <v>0</v>
      </c>
      <c r="K35" s="52">
        <f t="shared" si="9"/>
        <v>0</v>
      </c>
      <c r="L35" s="52">
        <f t="shared" si="9"/>
        <v>0</v>
      </c>
      <c r="M35" s="52">
        <f t="shared" si="9"/>
        <v>0</v>
      </c>
      <c r="N35" s="52">
        <f t="shared" si="9"/>
        <v>0</v>
      </c>
      <c r="O35" s="52">
        <f t="shared" si="9"/>
        <v>0</v>
      </c>
      <c r="P35" s="52">
        <f t="shared" si="9"/>
        <v>0</v>
      </c>
      <c r="Q35" s="52">
        <f t="shared" si="9"/>
        <v>0</v>
      </c>
      <c r="R35" s="52">
        <f t="shared" si="9"/>
        <v>0</v>
      </c>
      <c r="S35" s="52">
        <f t="shared" si="9"/>
        <v>0</v>
      </c>
      <c r="T35" s="52">
        <f t="shared" si="9"/>
        <v>0</v>
      </c>
      <c r="U35" s="52">
        <f t="shared" si="9"/>
        <v>0</v>
      </c>
      <c r="V35" s="52">
        <f t="shared" si="9"/>
        <v>0</v>
      </c>
      <c r="W35" s="52">
        <f t="shared" si="9"/>
        <v>0</v>
      </c>
      <c r="X35" s="52">
        <f t="shared" si="9"/>
        <v>0</v>
      </c>
      <c r="Y35" s="52">
        <f t="shared" si="9"/>
        <v>0</v>
      </c>
      <c r="Z35" s="52">
        <f t="shared" si="9"/>
        <v>0</v>
      </c>
      <c r="AA35" s="52">
        <f t="shared" si="9"/>
        <v>0</v>
      </c>
      <c r="AB35" s="52">
        <f t="shared" si="9"/>
        <v>0</v>
      </c>
      <c r="AC35" s="52">
        <f t="shared" si="9"/>
        <v>0</v>
      </c>
      <c r="AD35" s="52">
        <f t="shared" si="9"/>
        <v>0</v>
      </c>
      <c r="AE35" s="52">
        <f t="shared" si="9"/>
        <v>0</v>
      </c>
      <c r="AF35" s="52">
        <f t="shared" si="9"/>
        <v>0</v>
      </c>
      <c r="AG35" s="52">
        <f>SUM(Зарплата_Яковлева[[#This Row],[01]:[31]])</f>
        <v>0</v>
      </c>
      <c r="AH35" s="78"/>
      <c r="AI35" s="79"/>
    </row>
    <row r="36" spans="1:35" x14ac:dyDescent="0.3">
      <c r="A36" s="52" t="str">
        <f t="shared" si="6"/>
        <v xml:space="preserve">ДХ 14 + </v>
      </c>
      <c r="B36" s="52">
        <f t="shared" ref="B36:AF36" si="10">IF(GETPIVOTDATA(LEFT(B22,2),$A$3,"Группа","ДХ 14 + ","Хореограф","Яковлева В.Г.")&gt;8,GETPIVOTDATA(LEFT(B22,2),$A$3,"Группа","ДХ 14 + ","Хореограф","Яковлева В.Г.")*100,IF(GETPIVOTDATA(LEFT(B22,2),$A$3,"Группа","ДХ 14 + ","Хореограф","Яковлева В.Г.")&gt;0,800,0))</f>
        <v>0</v>
      </c>
      <c r="C36" s="52">
        <f t="shared" si="10"/>
        <v>900</v>
      </c>
      <c r="D36" s="52">
        <f t="shared" si="10"/>
        <v>0</v>
      </c>
      <c r="E36" s="52">
        <f t="shared" si="10"/>
        <v>0</v>
      </c>
      <c r="F36" s="52">
        <f t="shared" si="10"/>
        <v>0</v>
      </c>
      <c r="G36" s="52">
        <f t="shared" si="10"/>
        <v>900</v>
      </c>
      <c r="H36" s="52">
        <f t="shared" si="10"/>
        <v>0</v>
      </c>
      <c r="I36" s="52">
        <f t="shared" si="10"/>
        <v>0</v>
      </c>
      <c r="J36" s="52">
        <f t="shared" si="10"/>
        <v>800</v>
      </c>
      <c r="K36" s="52">
        <f t="shared" si="10"/>
        <v>0</v>
      </c>
      <c r="L36" s="52">
        <f t="shared" si="10"/>
        <v>0</v>
      </c>
      <c r="M36" s="52">
        <f t="shared" si="10"/>
        <v>0</v>
      </c>
      <c r="N36" s="52">
        <f t="shared" si="10"/>
        <v>800</v>
      </c>
      <c r="O36" s="52">
        <f t="shared" si="10"/>
        <v>0</v>
      </c>
      <c r="P36" s="52">
        <f t="shared" si="10"/>
        <v>0</v>
      </c>
      <c r="Q36" s="52">
        <f t="shared" si="10"/>
        <v>900</v>
      </c>
      <c r="R36" s="52">
        <f t="shared" si="10"/>
        <v>0</v>
      </c>
      <c r="S36" s="52">
        <f t="shared" si="10"/>
        <v>0</v>
      </c>
      <c r="T36" s="52">
        <f t="shared" si="10"/>
        <v>0</v>
      </c>
      <c r="U36" s="52">
        <f t="shared" si="10"/>
        <v>900</v>
      </c>
      <c r="V36" s="52">
        <f t="shared" si="10"/>
        <v>0</v>
      </c>
      <c r="W36" s="52">
        <f t="shared" si="10"/>
        <v>0</v>
      </c>
      <c r="X36" s="52">
        <f t="shared" si="10"/>
        <v>1000</v>
      </c>
      <c r="Y36" s="52">
        <f t="shared" si="10"/>
        <v>0</v>
      </c>
      <c r="Z36" s="52">
        <f t="shared" si="10"/>
        <v>0</v>
      </c>
      <c r="AA36" s="52">
        <f t="shared" si="10"/>
        <v>0</v>
      </c>
      <c r="AB36" s="52">
        <f t="shared" si="10"/>
        <v>1000</v>
      </c>
      <c r="AC36" s="52">
        <f t="shared" si="10"/>
        <v>0</v>
      </c>
      <c r="AD36" s="52">
        <f t="shared" si="10"/>
        <v>0</v>
      </c>
      <c r="AE36" s="52">
        <f t="shared" si="10"/>
        <v>0</v>
      </c>
      <c r="AF36" s="52">
        <f t="shared" si="10"/>
        <v>0</v>
      </c>
      <c r="AG36" s="52">
        <f>SUM(Зарплата_Яковлева[[#This Row],[01]:[31]])</f>
        <v>7200</v>
      </c>
      <c r="AH36" s="78"/>
      <c r="AI36" s="79"/>
    </row>
    <row r="37" spans="1:35" x14ac:dyDescent="0.3">
      <c r="A37" s="52" t="str">
        <f t="shared" si="6"/>
        <v xml:space="preserve">ДХ 18 + </v>
      </c>
      <c r="B37" s="52">
        <f t="shared" ref="B37:AF37" si="11">IF(GETPIVOTDATA(LEFT(B22,2),$A$3,"Группа","ДХ 18 + ","Хореограф","Яковлева В.Г.")&gt;8,GETPIVOTDATA(LEFT(B22,2),$A$3,"Группа","ДХ 18 + ","Хореограф","Яковлева В.Г.")*100,IF(GETPIVOTDATA(LEFT(B22,2),$A$3,"Группа","ДХ 18 + ","Хореограф","Яковлева В.Г.")&gt;0,800,0))</f>
        <v>800</v>
      </c>
      <c r="C37" s="52">
        <f t="shared" si="11"/>
        <v>0</v>
      </c>
      <c r="D37" s="52">
        <f t="shared" si="11"/>
        <v>800</v>
      </c>
      <c r="E37" s="52">
        <f t="shared" si="11"/>
        <v>0</v>
      </c>
      <c r="F37" s="52">
        <f t="shared" si="11"/>
        <v>0</v>
      </c>
      <c r="G37" s="52">
        <f t="shared" si="11"/>
        <v>0</v>
      </c>
      <c r="H37" s="52">
        <f t="shared" si="11"/>
        <v>0</v>
      </c>
      <c r="I37" s="52">
        <f t="shared" si="11"/>
        <v>800</v>
      </c>
      <c r="J37" s="52">
        <f t="shared" si="11"/>
        <v>0</v>
      </c>
      <c r="K37" s="52">
        <f t="shared" si="11"/>
        <v>800</v>
      </c>
      <c r="L37" s="52">
        <f t="shared" si="11"/>
        <v>0</v>
      </c>
      <c r="M37" s="52">
        <f t="shared" si="11"/>
        <v>0</v>
      </c>
      <c r="N37" s="52">
        <f t="shared" si="11"/>
        <v>0</v>
      </c>
      <c r="O37" s="52">
        <f t="shared" si="11"/>
        <v>0</v>
      </c>
      <c r="P37" s="52">
        <f t="shared" si="11"/>
        <v>800</v>
      </c>
      <c r="Q37" s="52">
        <f t="shared" si="11"/>
        <v>0</v>
      </c>
      <c r="R37" s="52">
        <f t="shared" si="11"/>
        <v>800</v>
      </c>
      <c r="S37" s="52">
        <f t="shared" si="11"/>
        <v>0</v>
      </c>
      <c r="T37" s="52">
        <f t="shared" si="11"/>
        <v>0</v>
      </c>
      <c r="U37" s="52">
        <f t="shared" si="11"/>
        <v>0</v>
      </c>
      <c r="V37" s="52">
        <f t="shared" si="11"/>
        <v>0</v>
      </c>
      <c r="W37" s="52">
        <f t="shared" si="11"/>
        <v>800</v>
      </c>
      <c r="X37" s="52">
        <f t="shared" si="11"/>
        <v>0</v>
      </c>
      <c r="Y37" s="52">
        <f t="shared" si="11"/>
        <v>800</v>
      </c>
      <c r="Z37" s="52">
        <f t="shared" si="11"/>
        <v>0</v>
      </c>
      <c r="AA37" s="52">
        <f t="shared" si="11"/>
        <v>0</v>
      </c>
      <c r="AB37" s="52">
        <f t="shared" si="11"/>
        <v>0</v>
      </c>
      <c r="AC37" s="52">
        <f t="shared" si="11"/>
        <v>0</v>
      </c>
      <c r="AD37" s="52">
        <f t="shared" si="11"/>
        <v>0</v>
      </c>
      <c r="AE37" s="52">
        <f t="shared" si="11"/>
        <v>0</v>
      </c>
      <c r="AF37" s="52">
        <f t="shared" si="11"/>
        <v>0</v>
      </c>
      <c r="AG37" s="52">
        <f>SUM(Зарплата_Яковлева[[#This Row],[01]:[31]])</f>
        <v>6400</v>
      </c>
      <c r="AH37" s="78"/>
      <c r="AI37" s="79"/>
    </row>
    <row r="38" spans="1:35" x14ac:dyDescent="0.3">
      <c r="A38" s="52" t="str">
        <f t="shared" si="6"/>
        <v>ЛС В</v>
      </c>
      <c r="B38" s="52">
        <f t="shared" ref="B38:AF38" si="12">IF(GETPIVOTDATA(LEFT(B22,2),$A$3,"Группа","ЛС В","Хореограф","Яковлева В.Г.")&gt;8,GETPIVOTDATA(LEFT(B22,2),$A$3,"Группа","ЛС В","Хореограф","Яковлева В.Г.")*100,IF(GETPIVOTDATA(LEFT(B22,2),$A$3,"Группа","ЛС В","Хореограф","Яковлева В.Г.")&gt;0,800,0))</f>
        <v>0</v>
      </c>
      <c r="C38" s="52">
        <f t="shared" si="12"/>
        <v>0</v>
      </c>
      <c r="D38" s="52">
        <f t="shared" si="12"/>
        <v>800</v>
      </c>
      <c r="E38" s="52">
        <f t="shared" si="12"/>
        <v>0</v>
      </c>
      <c r="F38" s="52">
        <f t="shared" si="12"/>
        <v>0</v>
      </c>
      <c r="G38" s="52">
        <f t="shared" si="12"/>
        <v>800</v>
      </c>
      <c r="H38" s="52">
        <f t="shared" si="12"/>
        <v>0</v>
      </c>
      <c r="I38" s="52">
        <f t="shared" si="12"/>
        <v>0</v>
      </c>
      <c r="J38" s="52">
        <f t="shared" si="12"/>
        <v>0</v>
      </c>
      <c r="K38" s="52">
        <f t="shared" si="12"/>
        <v>800</v>
      </c>
      <c r="L38" s="52">
        <f t="shared" si="12"/>
        <v>0</v>
      </c>
      <c r="M38" s="52">
        <f t="shared" si="12"/>
        <v>0</v>
      </c>
      <c r="N38" s="52">
        <f t="shared" si="12"/>
        <v>800</v>
      </c>
      <c r="O38" s="52">
        <f t="shared" si="12"/>
        <v>0</v>
      </c>
      <c r="P38" s="52">
        <f t="shared" si="12"/>
        <v>0</v>
      </c>
      <c r="Q38" s="52">
        <f t="shared" si="12"/>
        <v>0</v>
      </c>
      <c r="R38" s="52">
        <f t="shared" si="12"/>
        <v>800</v>
      </c>
      <c r="S38" s="52">
        <f t="shared" si="12"/>
        <v>0</v>
      </c>
      <c r="T38" s="52">
        <f t="shared" si="12"/>
        <v>0</v>
      </c>
      <c r="U38" s="52">
        <f t="shared" si="12"/>
        <v>800</v>
      </c>
      <c r="V38" s="52">
        <f t="shared" si="12"/>
        <v>0</v>
      </c>
      <c r="W38" s="52">
        <f t="shared" si="12"/>
        <v>0</v>
      </c>
      <c r="X38" s="52">
        <f t="shared" si="12"/>
        <v>0</v>
      </c>
      <c r="Y38" s="52">
        <f t="shared" si="12"/>
        <v>800</v>
      </c>
      <c r="Z38" s="52">
        <f t="shared" si="12"/>
        <v>0</v>
      </c>
      <c r="AA38" s="52">
        <f t="shared" si="12"/>
        <v>0</v>
      </c>
      <c r="AB38" s="52">
        <f t="shared" si="12"/>
        <v>800</v>
      </c>
      <c r="AC38" s="52">
        <f t="shared" si="12"/>
        <v>0</v>
      </c>
      <c r="AD38" s="52">
        <f t="shared" si="12"/>
        <v>0</v>
      </c>
      <c r="AE38" s="52">
        <f t="shared" si="12"/>
        <v>0</v>
      </c>
      <c r="AF38" s="52">
        <f t="shared" si="12"/>
        <v>0</v>
      </c>
      <c r="AG38" s="52">
        <f>SUM(Зарплата_Яковлева[[#This Row],[01]:[31]])</f>
        <v>6400</v>
      </c>
      <c r="AH38" s="78"/>
      <c r="AI38" s="79"/>
    </row>
    <row r="39" spans="1:35" x14ac:dyDescent="0.3">
      <c r="A39" s="52" t="str">
        <f t="shared" si="6"/>
        <v>ЛС У</v>
      </c>
      <c r="B39" s="52">
        <f t="shared" ref="B39:AF39" si="13">IF(GETPIVOTDATA(LEFT(B22,2),$A$3,"Группа","ЛС У","Хореограф","Яковлева В.Г.")&gt;8,GETPIVOTDATA(LEFT(B22,2),$A$3,"Группа","ЛС У","Хореограф","Яковлева В.Г.")*100,IF(GETPIVOTDATA(LEFT(B22,2),$A$3,"Группа","ЛС У","Хореограф","Яковлева В.Г.")&gt;0,800,0))</f>
        <v>800</v>
      </c>
      <c r="C39" s="52">
        <f t="shared" si="13"/>
        <v>0</v>
      </c>
      <c r="D39" s="52">
        <f t="shared" si="13"/>
        <v>800</v>
      </c>
      <c r="E39" s="52">
        <f t="shared" si="13"/>
        <v>0</v>
      </c>
      <c r="F39" s="52">
        <f t="shared" si="13"/>
        <v>0</v>
      </c>
      <c r="G39" s="52">
        <f t="shared" si="13"/>
        <v>0</v>
      </c>
      <c r="H39" s="52">
        <f t="shared" si="13"/>
        <v>0</v>
      </c>
      <c r="I39" s="52">
        <f t="shared" si="13"/>
        <v>800</v>
      </c>
      <c r="J39" s="52">
        <f t="shared" si="13"/>
        <v>800</v>
      </c>
      <c r="K39" s="52">
        <f t="shared" si="13"/>
        <v>800</v>
      </c>
      <c r="L39" s="52">
        <f t="shared" si="13"/>
        <v>0</v>
      </c>
      <c r="M39" s="52">
        <f t="shared" si="13"/>
        <v>0</v>
      </c>
      <c r="N39" s="52">
        <f t="shared" si="13"/>
        <v>0</v>
      </c>
      <c r="O39" s="52">
        <f t="shared" si="13"/>
        <v>0</v>
      </c>
      <c r="P39" s="52">
        <f t="shared" si="13"/>
        <v>800</v>
      </c>
      <c r="Q39" s="52">
        <f t="shared" si="13"/>
        <v>0</v>
      </c>
      <c r="R39" s="52">
        <f t="shared" si="13"/>
        <v>800</v>
      </c>
      <c r="S39" s="52">
        <f t="shared" si="13"/>
        <v>0</v>
      </c>
      <c r="T39" s="52">
        <f t="shared" si="13"/>
        <v>0</v>
      </c>
      <c r="U39" s="52">
        <f t="shared" si="13"/>
        <v>0</v>
      </c>
      <c r="V39" s="52">
        <f t="shared" si="13"/>
        <v>0</v>
      </c>
      <c r="W39" s="52">
        <f t="shared" si="13"/>
        <v>800</v>
      </c>
      <c r="X39" s="52">
        <f t="shared" si="13"/>
        <v>0</v>
      </c>
      <c r="Y39" s="52">
        <f t="shared" si="13"/>
        <v>800</v>
      </c>
      <c r="Z39" s="52">
        <f t="shared" si="13"/>
        <v>0</v>
      </c>
      <c r="AA39" s="52">
        <f t="shared" si="13"/>
        <v>0</v>
      </c>
      <c r="AB39" s="52">
        <f t="shared" si="13"/>
        <v>0</v>
      </c>
      <c r="AC39" s="52">
        <f t="shared" si="13"/>
        <v>0</v>
      </c>
      <c r="AD39" s="52">
        <f t="shared" si="13"/>
        <v>0</v>
      </c>
      <c r="AE39" s="52">
        <f t="shared" si="13"/>
        <v>0</v>
      </c>
      <c r="AF39" s="52">
        <f t="shared" si="13"/>
        <v>0</v>
      </c>
      <c r="AG39" s="52">
        <f>SUM(Зарплата_Яковлева[[#This Row],[01]:[31]])</f>
        <v>7200</v>
      </c>
      <c r="AH39" s="78"/>
    </row>
    <row r="40" spans="1:35" x14ac:dyDescent="0.3">
      <c r="A40" s="68" t="str">
        <f>A20</f>
        <v>Индивид</v>
      </c>
      <c r="B40" s="52">
        <f>IF(GETPIVOTDATA(LEFT(B22,2),$A$3,"Группа","Индивид","Хореограф","Яковлева В.Г.")=1,1000,0)</f>
        <v>1000</v>
      </c>
      <c r="C40" s="52">
        <f t="shared" ref="C40:AF40" si="14">IF(GETPIVOTDATA(LEFT(C22,2),$A$3,"Группа","Индивид","Хореограф","Яковлева В.Г.")=1,1000,0)</f>
        <v>0</v>
      </c>
      <c r="D40" s="52">
        <f t="shared" si="14"/>
        <v>0</v>
      </c>
      <c r="E40" s="52">
        <f t="shared" si="14"/>
        <v>0</v>
      </c>
      <c r="F40" s="52">
        <f t="shared" si="14"/>
        <v>0</v>
      </c>
      <c r="G40" s="52">
        <f t="shared" si="14"/>
        <v>0</v>
      </c>
      <c r="H40" s="52">
        <f t="shared" si="14"/>
        <v>0</v>
      </c>
      <c r="I40" s="52">
        <f t="shared" si="14"/>
        <v>0</v>
      </c>
      <c r="J40" s="52">
        <f t="shared" si="14"/>
        <v>0</v>
      </c>
      <c r="K40" s="52">
        <f t="shared" si="14"/>
        <v>0</v>
      </c>
      <c r="L40" s="52">
        <f t="shared" si="14"/>
        <v>0</v>
      </c>
      <c r="M40" s="52">
        <f t="shared" si="14"/>
        <v>0</v>
      </c>
      <c r="N40" s="52">
        <f t="shared" si="14"/>
        <v>0</v>
      </c>
      <c r="O40" s="52">
        <f t="shared" si="14"/>
        <v>0</v>
      </c>
      <c r="P40" s="52">
        <f t="shared" si="14"/>
        <v>0</v>
      </c>
      <c r="Q40" s="52">
        <f t="shared" si="14"/>
        <v>0</v>
      </c>
      <c r="R40" s="52">
        <f t="shared" si="14"/>
        <v>1000</v>
      </c>
      <c r="S40" s="52">
        <f t="shared" si="14"/>
        <v>0</v>
      </c>
      <c r="T40" s="52">
        <f t="shared" si="14"/>
        <v>0</v>
      </c>
      <c r="U40" s="52">
        <f t="shared" si="14"/>
        <v>0</v>
      </c>
      <c r="V40" s="52">
        <f t="shared" si="14"/>
        <v>0</v>
      </c>
      <c r="W40" s="52">
        <f t="shared" si="14"/>
        <v>0</v>
      </c>
      <c r="X40" s="52">
        <f t="shared" si="14"/>
        <v>0</v>
      </c>
      <c r="Y40" s="52">
        <f t="shared" si="14"/>
        <v>0</v>
      </c>
      <c r="Z40" s="52">
        <f t="shared" si="14"/>
        <v>0</v>
      </c>
      <c r="AA40" s="52">
        <f t="shared" si="14"/>
        <v>0</v>
      </c>
      <c r="AB40" s="52">
        <f t="shared" si="14"/>
        <v>0</v>
      </c>
      <c r="AC40" s="52">
        <f t="shared" si="14"/>
        <v>0</v>
      </c>
      <c r="AD40" s="52">
        <f t="shared" si="14"/>
        <v>0</v>
      </c>
      <c r="AE40" s="52">
        <f t="shared" si="14"/>
        <v>0</v>
      </c>
      <c r="AF40" s="52">
        <f t="shared" si="14"/>
        <v>0</v>
      </c>
      <c r="AG40" s="69">
        <f>SUM(Зарплата_Яковлева[[#This Row],[01]:[31]])</f>
        <v>2000</v>
      </c>
      <c r="AH40" s="78"/>
    </row>
    <row r="41" spans="1:35" x14ac:dyDescent="0.3">
      <c r="A41" s="91" t="s">
        <v>14</v>
      </c>
      <c r="B41" s="91">
        <f>SUBTOTAL(109,Зарплата_Яковлева[01])</f>
        <v>4200</v>
      </c>
      <c r="C41" s="91">
        <f>SUBTOTAL(109,Зарплата_Яковлева[02])</f>
        <v>900</v>
      </c>
      <c r="D41" s="91">
        <f>SUBTOTAL(109,Зарплата_Яковлева[03])</f>
        <v>4000</v>
      </c>
      <c r="E41" s="91">
        <f>SUBTOTAL(109,Зарплата_Яковлева[04])</f>
        <v>0</v>
      </c>
      <c r="F41" s="91">
        <f>SUBTOTAL(109,Зарплата_Яковлева[05])</f>
        <v>0</v>
      </c>
      <c r="G41" s="91">
        <f>SUBTOTAL(109,Зарплата_Яковлева[06])</f>
        <v>1700</v>
      </c>
      <c r="H41" s="91">
        <f>SUBTOTAL(109,Зарплата_Яковлева[07])</f>
        <v>0</v>
      </c>
      <c r="I41" s="91">
        <f>SUBTOTAL(109,Зарплата_Яковлева[08])</f>
        <v>3200</v>
      </c>
      <c r="J41" s="91">
        <f>SUBTOTAL(109,Зарплата_Яковлева[09])</f>
        <v>1600</v>
      </c>
      <c r="K41" s="91">
        <f>SUBTOTAL(109,Зарплата_Яковлева[10])</f>
        <v>4000</v>
      </c>
      <c r="L41" s="91">
        <f>SUBTOTAL(109,Зарплата_Яковлева[11])</f>
        <v>0</v>
      </c>
      <c r="M41" s="91">
        <f>SUBTOTAL(109,Зарплата_Яковлева[12])</f>
        <v>0</v>
      </c>
      <c r="N41" s="91">
        <f>SUBTOTAL(109,Зарплата_Яковлева[13])</f>
        <v>1600</v>
      </c>
      <c r="O41" s="91">
        <f>SUBTOTAL(109,Зарплата_Яковлева[14])</f>
        <v>0</v>
      </c>
      <c r="P41" s="91">
        <f>SUBTOTAL(109,Зарплата_Яковлева[15])</f>
        <v>2400</v>
      </c>
      <c r="Q41" s="91">
        <f>SUBTOTAL(109,Зарплата_Яковлева[16])</f>
        <v>900</v>
      </c>
      <c r="R41" s="91">
        <f>SUBTOTAL(109,Зарплата_Яковлева[17])</f>
        <v>4200</v>
      </c>
      <c r="S41" s="91">
        <f>SUBTOTAL(109,Зарплата_Яковлева[18])</f>
        <v>0</v>
      </c>
      <c r="T41" s="91">
        <f>SUBTOTAL(109,Зарплата_Яковлева[19])</f>
        <v>0</v>
      </c>
      <c r="U41" s="91">
        <f>SUBTOTAL(109,Зарплата_Яковлева[20])</f>
        <v>1700</v>
      </c>
      <c r="V41" s="91">
        <f>SUBTOTAL(109,Зарплата_Яковлева[21])</f>
        <v>0</v>
      </c>
      <c r="W41" s="91">
        <f>SUBTOTAL(109,Зарплата_Яковлева[22])</f>
        <v>2400</v>
      </c>
      <c r="X41" s="91">
        <f>SUBTOTAL(109,Зарплата_Яковлева[23])</f>
        <v>1000</v>
      </c>
      <c r="Y41" s="91">
        <f>SUBTOTAL(109,Зарплата_Яковлева[24])</f>
        <v>3200</v>
      </c>
      <c r="Z41" s="91">
        <f>SUBTOTAL(109,Зарплата_Яковлева[25])</f>
        <v>0</v>
      </c>
      <c r="AA41" s="91">
        <f>SUBTOTAL(109,Зарплата_Яковлева[26])</f>
        <v>0</v>
      </c>
      <c r="AB41" s="91">
        <f>SUBTOTAL(109,Зарплата_Яковлева[27])</f>
        <v>1800</v>
      </c>
      <c r="AC41" s="91">
        <f>SUBTOTAL(109,Зарплата_Яковлева[28])</f>
        <v>0</v>
      </c>
      <c r="AD41" s="91">
        <f>SUBTOTAL(109,Зарплата_Яковлева[29])</f>
        <v>0</v>
      </c>
      <c r="AE41" s="91">
        <f>SUBTOTAL(109,Зарплата_Яковлева[30])</f>
        <v>0</v>
      </c>
      <c r="AF41" s="91">
        <f>SUBTOTAL(109,Зарплата_Яковлева[31])</f>
        <v>0</v>
      </c>
      <c r="AG41" s="97">
        <f>SUBTOTAL(109,Зарплата_Яковлева[Всего])</f>
        <v>38800</v>
      </c>
      <c r="AH41" s="78"/>
    </row>
    <row r="42" spans="1:35" ht="15" thickBot="1" x14ac:dyDescent="0.35">
      <c r="A42" s="52" t="s">
        <v>130</v>
      </c>
      <c r="B42" s="84" t="s">
        <v>22</v>
      </c>
      <c r="C42" s="84" t="s">
        <v>23</v>
      </c>
      <c r="D42" s="84" t="s">
        <v>24</v>
      </c>
      <c r="E42" s="84" t="s">
        <v>25</v>
      </c>
      <c r="F42" s="85" t="s">
        <v>26</v>
      </c>
      <c r="G42" s="84" t="s">
        <v>27</v>
      </c>
      <c r="H42" s="84" t="s">
        <v>28</v>
      </c>
      <c r="I42" s="84" t="s">
        <v>29</v>
      </c>
      <c r="J42" s="84" t="s">
        <v>30</v>
      </c>
      <c r="K42" s="84" t="s">
        <v>31</v>
      </c>
      <c r="L42" s="84" t="s">
        <v>32</v>
      </c>
      <c r="M42" s="84" t="s">
        <v>33</v>
      </c>
      <c r="N42" s="84" t="s">
        <v>34</v>
      </c>
      <c r="O42" s="84" t="s">
        <v>35</v>
      </c>
      <c r="P42" s="84" t="s">
        <v>36</v>
      </c>
      <c r="Q42" s="84" t="s">
        <v>37</v>
      </c>
      <c r="R42" s="84" t="s">
        <v>38</v>
      </c>
      <c r="S42" s="84" t="s">
        <v>39</v>
      </c>
      <c r="T42" s="84" t="s">
        <v>40</v>
      </c>
      <c r="U42" s="84" t="s">
        <v>41</v>
      </c>
      <c r="V42" s="84" t="s">
        <v>42</v>
      </c>
      <c r="W42" s="84" t="s">
        <v>43</v>
      </c>
      <c r="X42" s="84" t="s">
        <v>44</v>
      </c>
      <c r="Y42" s="84" t="s">
        <v>45</v>
      </c>
      <c r="Z42" s="84" t="s">
        <v>46</v>
      </c>
      <c r="AA42" s="84" t="s">
        <v>47</v>
      </c>
      <c r="AB42" s="84" t="s">
        <v>48</v>
      </c>
      <c r="AC42" s="84" t="s">
        <v>49</v>
      </c>
      <c r="AD42" s="84" t="s">
        <v>50</v>
      </c>
      <c r="AE42" s="84" t="s">
        <v>51</v>
      </c>
      <c r="AF42" s="84" t="s">
        <v>52</v>
      </c>
      <c r="AG42" s="84" t="s">
        <v>0</v>
      </c>
      <c r="AH42" s="87"/>
    </row>
    <row r="43" spans="1:35" x14ac:dyDescent="0.3">
      <c r="A43" s="66" t="s">
        <v>76</v>
      </c>
      <c r="B43" s="52">
        <f>IF(Посещаемость!D117="+",700,0)</f>
        <v>700</v>
      </c>
      <c r="C43" s="52">
        <f>IF(Посещаемость!E117="+",700,0)</f>
        <v>700</v>
      </c>
      <c r="D43" s="52">
        <f>IF(Посещаемость!F117="+",700,0)</f>
        <v>700</v>
      </c>
      <c r="E43" s="52">
        <f>IF(Посещаемость!G117="+",700,0)</f>
        <v>700</v>
      </c>
      <c r="F43" s="52">
        <f>IF(Посещаемость!H117="+",700,0)</f>
        <v>700</v>
      </c>
      <c r="G43" s="52">
        <f>IF(Посещаемость!I117="+",700,0)</f>
        <v>700</v>
      </c>
      <c r="H43" s="52">
        <f>IF(Посещаемость!J117="+",700,0)</f>
        <v>700</v>
      </c>
      <c r="I43" s="52">
        <f>IF(Посещаемость!K117="+",700,0)</f>
        <v>700</v>
      </c>
      <c r="J43" s="52">
        <f>IF(Посещаемость!L117="+",700,0)</f>
        <v>700</v>
      </c>
      <c r="K43" s="52">
        <f>IF(Посещаемость!M117="+",700,0)</f>
        <v>700</v>
      </c>
      <c r="L43" s="52">
        <f>IF(Посещаемость!N117="+",700,0)</f>
        <v>700</v>
      </c>
      <c r="M43" s="52">
        <f>IF(Посещаемость!O117="+",700,0)</f>
        <v>700</v>
      </c>
      <c r="N43" s="52">
        <f>IF(Посещаемость!P117="+",700,0)</f>
        <v>700</v>
      </c>
      <c r="O43" s="52">
        <f>IF(Посещаемость!Q117="+",700,0)</f>
        <v>700</v>
      </c>
      <c r="P43" s="52">
        <f>IF(Посещаемость!R117="+",700,0)</f>
        <v>700</v>
      </c>
      <c r="Q43" s="52">
        <f>IF(Посещаемость!S117="+",700,0)</f>
        <v>700</v>
      </c>
      <c r="R43" s="52">
        <f>IF(Посещаемость!T117="+",700,0)</f>
        <v>700</v>
      </c>
      <c r="S43" s="52">
        <f>IF(Посещаемость!U117="+",700,0)</f>
        <v>700</v>
      </c>
      <c r="T43" s="52">
        <f>IF(Посещаемость!V117="+",700,0)</f>
        <v>700</v>
      </c>
      <c r="U43" s="52">
        <f>IF(Посещаемость!W117="+",700,0)</f>
        <v>700</v>
      </c>
      <c r="V43" s="52">
        <f>IF(Посещаемость!X117="+",700,0)</f>
        <v>700</v>
      </c>
      <c r="W43" s="52">
        <f>IF(Посещаемость!Y117="+",700,0)</f>
        <v>700</v>
      </c>
      <c r="X43" s="52">
        <f>IF(Посещаемость!Z117="+",700,0)</f>
        <v>700</v>
      </c>
      <c r="Y43" s="52">
        <f>IF(Посещаемость!AA117="+",700,0)</f>
        <v>700</v>
      </c>
      <c r="Z43" s="52">
        <f>IF(Посещаемость!AB117="+",700,0)</f>
        <v>700</v>
      </c>
      <c r="AA43" s="52">
        <f>IF(Посещаемость!AC117="+",700,0)</f>
        <v>0</v>
      </c>
      <c r="AB43" s="52">
        <f>IF(Посещаемость!AD117="+",700,0)</f>
        <v>700</v>
      </c>
      <c r="AC43" s="52">
        <f>IF(Посещаемость!AE117="+",700,0)</f>
        <v>700</v>
      </c>
      <c r="AD43" s="52">
        <f>IF(Посещаемость!AF117="+",700,0)</f>
        <v>0</v>
      </c>
      <c r="AE43" s="52">
        <f>IF(Посещаемость!AG117="+",700,0)</f>
        <v>0</v>
      </c>
      <c r="AF43" s="52">
        <f>IF(Посещаемость!AH117="+",700,0)</f>
        <v>0</v>
      </c>
      <c r="AG43" s="86">
        <f>SUM(Зарплата_администратора[[#This Row],[01]:[31]])</f>
        <v>18900</v>
      </c>
    </row>
    <row r="44" spans="1:35" x14ac:dyDescent="0.3">
      <c r="A44" s="88" t="s">
        <v>10</v>
      </c>
      <c r="B44" s="52">
        <f>IF(Посещаемость!D118="+",700,0)</f>
        <v>0</v>
      </c>
      <c r="C44" s="52">
        <f>IF(Посещаемость!E118="+",700,0)</f>
        <v>0</v>
      </c>
      <c r="D44" s="52">
        <f>IF(Посещаемость!F118="+",700,0)</f>
        <v>0</v>
      </c>
      <c r="E44" s="52">
        <f>IF(Посещаемость!G118="+",700,0)</f>
        <v>0</v>
      </c>
      <c r="F44" s="52">
        <f>IF(Посещаемость!H118="+",700,0)</f>
        <v>0</v>
      </c>
      <c r="G44" s="52">
        <f>IF(Посещаемость!I118="+",700,0)</f>
        <v>0</v>
      </c>
      <c r="H44" s="52">
        <f>IF(Посещаемость!J118="+",700,0)</f>
        <v>0</v>
      </c>
      <c r="I44" s="52">
        <f>IF(Посещаемость!K118="+",700,0)</f>
        <v>0</v>
      </c>
      <c r="J44" s="52">
        <f>IF(Посещаемость!L118="+",700,0)</f>
        <v>0</v>
      </c>
      <c r="K44" s="52">
        <f>IF(Посещаемость!M118="+",700,0)</f>
        <v>0</v>
      </c>
      <c r="L44" s="52">
        <f>IF(Посещаемость!N118="+",700,0)</f>
        <v>0</v>
      </c>
      <c r="M44" s="52">
        <f>IF(Посещаемость!O118="+",700,0)</f>
        <v>0</v>
      </c>
      <c r="N44" s="52">
        <f>IF(Посещаемость!P118="+",700,0)</f>
        <v>0</v>
      </c>
      <c r="O44" s="52">
        <f>IF(Посещаемость!Q118="+",700,0)</f>
        <v>0</v>
      </c>
      <c r="P44" s="52">
        <f>IF(Посещаемость!R118="+",700,0)</f>
        <v>0</v>
      </c>
      <c r="Q44" s="52">
        <f>IF(Посещаемость!S118="+",700,0)</f>
        <v>0</v>
      </c>
      <c r="R44" s="52">
        <f>IF(Посещаемость!T118="+",700,0)</f>
        <v>0</v>
      </c>
      <c r="S44" s="52">
        <f>IF(Посещаемость!U118="+",700,0)</f>
        <v>0</v>
      </c>
      <c r="T44" s="52">
        <f>IF(Посещаемость!V118="+",700,0)</f>
        <v>0</v>
      </c>
      <c r="U44" s="52">
        <f>IF(Посещаемость!W118="+",700,0)</f>
        <v>0</v>
      </c>
      <c r="V44" s="52">
        <f>IF(Посещаемость!X118="+",700,0)</f>
        <v>0</v>
      </c>
      <c r="W44" s="52">
        <f>IF(Посещаемость!Y118="+",700,0)</f>
        <v>0</v>
      </c>
      <c r="X44" s="52">
        <f>IF(Посещаемость!Z118="+",700,0)</f>
        <v>0</v>
      </c>
      <c r="Y44" s="52">
        <f>IF(Посещаемость!AA118="+",700,0)</f>
        <v>0</v>
      </c>
      <c r="Z44" s="52">
        <f>IF(Посещаемость!AB118="+",700,0)</f>
        <v>0</v>
      </c>
      <c r="AA44" s="52">
        <f>IF(Посещаемость!AC118="+",700,0)</f>
        <v>700</v>
      </c>
      <c r="AB44" s="52">
        <f>IF(Посещаемость!AD118="+",700,0)</f>
        <v>0</v>
      </c>
      <c r="AC44" s="52">
        <f>IF(Посещаемость!AE118="+",700,0)</f>
        <v>0</v>
      </c>
      <c r="AD44" s="52">
        <f>IF(Посещаемость!AF118="+",700,0)</f>
        <v>0</v>
      </c>
      <c r="AE44" s="52">
        <f>IF(Посещаемость!AG118="+",700,0)</f>
        <v>0</v>
      </c>
      <c r="AF44" s="52">
        <f>IF(Посещаемость!AH118="+",700,0)</f>
        <v>0</v>
      </c>
      <c r="AG44" s="86">
        <f>SUM(Зарплата_администратора[[#This Row],[01]:[31]])</f>
        <v>700</v>
      </c>
    </row>
    <row r="45" spans="1:35" x14ac:dyDescent="0.3">
      <c r="A45" s="93" t="s">
        <v>14</v>
      </c>
      <c r="B45" s="91">
        <f>SUBTOTAL(109,Зарплата_администратора[01])</f>
        <v>700</v>
      </c>
      <c r="C45" s="91">
        <f>SUBTOTAL(109,Зарплата_администратора[02])</f>
        <v>700</v>
      </c>
      <c r="D45" s="91">
        <f>SUBTOTAL(109,Зарплата_администратора[03])</f>
        <v>700</v>
      </c>
      <c r="E45" s="91">
        <f>SUBTOTAL(109,Зарплата_администратора[04])</f>
        <v>700</v>
      </c>
      <c r="F45" s="91">
        <f>SUBTOTAL(109,Зарплата_администратора[05])</f>
        <v>700</v>
      </c>
      <c r="G45" s="91">
        <f>SUBTOTAL(109,Зарплата_администратора[06])</f>
        <v>700</v>
      </c>
      <c r="H45" s="91">
        <f>SUBTOTAL(109,Зарплата_администратора[07])</f>
        <v>700</v>
      </c>
      <c r="I45" s="91">
        <f>SUBTOTAL(109,Зарплата_администратора[08])</f>
        <v>700</v>
      </c>
      <c r="J45" s="91">
        <f>SUBTOTAL(109,Зарплата_администратора[09])</f>
        <v>700</v>
      </c>
      <c r="K45" s="91">
        <f>SUBTOTAL(109,Зарплата_администратора[10])</f>
        <v>700</v>
      </c>
      <c r="L45" s="91">
        <f>SUBTOTAL(109,Зарплата_администратора[11])</f>
        <v>700</v>
      </c>
      <c r="M45" s="91">
        <f>SUBTOTAL(109,Зарплата_администратора[12])</f>
        <v>700</v>
      </c>
      <c r="N45" s="91">
        <f>SUBTOTAL(109,Зарплата_администратора[13])</f>
        <v>700</v>
      </c>
      <c r="O45" s="91">
        <f>SUBTOTAL(109,Зарплата_администратора[14])</f>
        <v>700</v>
      </c>
      <c r="P45" s="91">
        <f>SUBTOTAL(109,Зарплата_администратора[15])</f>
        <v>700</v>
      </c>
      <c r="Q45" s="91">
        <f>SUBTOTAL(109,Зарплата_администратора[16])</f>
        <v>700</v>
      </c>
      <c r="R45" s="91">
        <f>SUBTOTAL(109,Зарплата_администратора[17])</f>
        <v>700</v>
      </c>
      <c r="S45" s="91">
        <f>SUBTOTAL(109,Зарплата_администратора[18])</f>
        <v>700</v>
      </c>
      <c r="T45" s="91">
        <f>SUBTOTAL(109,Зарплата_администратора[19])</f>
        <v>700</v>
      </c>
      <c r="U45" s="91">
        <f>SUBTOTAL(109,Зарплата_администратора[20])</f>
        <v>700</v>
      </c>
      <c r="V45" s="91">
        <f>SUBTOTAL(109,Зарплата_администратора[21])</f>
        <v>700</v>
      </c>
      <c r="W45" s="91">
        <f>SUBTOTAL(109,Зарплата_администратора[22])</f>
        <v>700</v>
      </c>
      <c r="X45" s="91">
        <f>SUBTOTAL(109,Зарплата_администратора[23])</f>
        <v>700</v>
      </c>
      <c r="Y45" s="91">
        <f>SUBTOTAL(109,Зарплата_администратора[24])</f>
        <v>700</v>
      </c>
      <c r="Z45" s="91">
        <f>SUBTOTAL(109,Зарплата_администратора[25])</f>
        <v>700</v>
      </c>
      <c r="AA45" s="91">
        <f>SUBTOTAL(109,Зарплата_администратора[26])</f>
        <v>700</v>
      </c>
      <c r="AB45" s="91">
        <f>SUBTOTAL(109,Зарплата_администратора[27])</f>
        <v>700</v>
      </c>
      <c r="AC45" s="91">
        <f>SUBTOTAL(109,Зарплата_администратора[28])</f>
        <v>700</v>
      </c>
      <c r="AD45" s="91">
        <f>SUBTOTAL(109,Зарплата_администратора[29])</f>
        <v>0</v>
      </c>
      <c r="AE45" s="91">
        <f>SUBTOTAL(109,Зарплата_администратора[30])</f>
        <v>0</v>
      </c>
      <c r="AF45" s="91">
        <f>SUBTOTAL(109,Зарплата_администратора[31])</f>
        <v>0</v>
      </c>
      <c r="AG45" s="100">
        <f>SUBTOTAL(109,Зарплата_администратора[Всего])</f>
        <v>19600</v>
      </c>
    </row>
    <row r="46" spans="1:35" x14ac:dyDescent="0.3">
      <c r="A46" s="76" t="s">
        <v>14</v>
      </c>
      <c r="B46" s="62">
        <f>SUM(Зарплата_Казанцева[[#Totals],[01]],Зарплата_Павленко[[#Totals],[01]],Зарплата_Яковлева[[#Totals],[01]],Зарплата_администратора[[#Totals],[01]])</f>
        <v>6700</v>
      </c>
      <c r="C46" s="62">
        <f>SUM(Зарплата_Казанцева[[#Totals],[02]],Зарплата_Павленко[[#Totals],[02]],Зарплата_Яковлева[[#Totals],[02]],Зарплата_администратора[[#Totals],[02]])</f>
        <v>3200</v>
      </c>
      <c r="D46" s="62">
        <f>SUM(Зарплата_Казанцева[[#Totals],[03]],Зарплата_Павленко[[#Totals],[03]],Зарплата_Яковлева[[#Totals],[03]],Зарплата_администратора[[#Totals],[03]])</f>
        <v>6400</v>
      </c>
      <c r="E46" s="62">
        <f>SUM(Зарплата_Казанцева[[#Totals],[04]],Зарплата_Павленко[[#Totals],[04]],Зарплата_Яковлева[[#Totals],[04]],Зарплата_администратора[[#Totals],[04]])</f>
        <v>2400</v>
      </c>
      <c r="F46" s="62">
        <f>SUM(Зарплата_Казанцева[[#Totals],[05]],Зарплата_Павленко[[#Totals],[05]],Зарплата_Яковлева[[#Totals],[05]],Зарплата_администратора[[#Totals],[05]])</f>
        <v>2300</v>
      </c>
      <c r="G46" s="62">
        <f>SUM(Зарплата_Казанцева[[#Totals],[06]],Зарплата_Павленко[[#Totals],[06]],Зарплата_Яковлева[[#Totals],[06]],Зарплата_администратора[[#Totals],[06]])</f>
        <v>2400</v>
      </c>
      <c r="H46" s="62">
        <f>SUM(Зарплата_Казанцева[[#Totals],[07]],Зарплата_Павленко[[#Totals],[07]],Зарплата_Яковлева[[#Totals],[07]],Зарплата_администратора[[#Totals],[07]])</f>
        <v>1500</v>
      </c>
      <c r="I46" s="62">
        <f>SUM(Зарплата_Казанцева[[#Totals],[08]],Зарплата_Павленко[[#Totals],[08]],Зарплата_Яковлева[[#Totals],[08]],Зарплата_администратора[[#Totals],[08]])</f>
        <v>5700</v>
      </c>
      <c r="J46" s="62">
        <f>SUM(Зарплата_Казанцева[[#Totals],[09]],Зарплата_Павленко[[#Totals],[09]],Зарплата_Яковлева[[#Totals],[09]],Зарплата_администратора[[#Totals],[09]])</f>
        <v>3900</v>
      </c>
      <c r="K46" s="62">
        <f>SUM(Зарплата_Казанцева[[#Totals],[10]],Зарплата_Павленко[[#Totals],[10]],Зарплата_Яковлева[[#Totals],[10]],Зарплата_администратора[[#Totals],[10]])</f>
        <v>6500</v>
      </c>
      <c r="L46" s="62">
        <f>SUM(Зарплата_Казанцева[[#Totals],[11]],Зарплата_Павленко[[#Totals],[11]],Зарплата_Яковлева[[#Totals],[11]],Зарплата_администратора[[#Totals],[11]])</f>
        <v>2300</v>
      </c>
      <c r="M46" s="62">
        <f>SUM(Зарплата_Казанцева[[#Totals],[12]],Зарплата_Павленко[[#Totals],[12]],Зарплата_Яковлева[[#Totals],[12]],Зарплата_администратора[[#Totals],[12]])</f>
        <v>1500</v>
      </c>
      <c r="N46" s="62">
        <f>SUM(Зарплата_Казанцева[[#Totals],[13]],Зарплата_Павленко[[#Totals],[13]],Зарплата_Яковлева[[#Totals],[13]],Зарплата_администратора[[#Totals],[13]])</f>
        <v>2300</v>
      </c>
      <c r="O46" s="62">
        <f>SUM(Зарплата_Казанцева[[#Totals],[14]],Зарплата_Павленко[[#Totals],[14]],Зарплата_Яковлева[[#Totals],[14]],Зарплата_администратора[[#Totals],[14]])</f>
        <v>1500</v>
      </c>
      <c r="P46" s="62">
        <f>SUM(Зарплата_Казанцева[[#Totals],[15]],Зарплата_Павленко[[#Totals],[15]],Зарплата_Яковлева[[#Totals],[15]],Зарплата_администратора[[#Totals],[15]])</f>
        <v>4700</v>
      </c>
      <c r="Q46" s="62">
        <f>SUM(Зарплата_Казанцева[[#Totals],[16]],Зарплата_Павленко[[#Totals],[16]],Зарплата_Яковлева[[#Totals],[16]],Зарплата_администратора[[#Totals],[16]])</f>
        <v>3200</v>
      </c>
      <c r="R46" s="62">
        <f>SUM(Зарплата_Казанцева[[#Totals],[17]],Зарплата_Павленко[[#Totals],[17]],Зарплата_Яковлева[[#Totals],[17]],Зарплата_администратора[[#Totals],[17]])</f>
        <v>6600</v>
      </c>
      <c r="S46" s="62">
        <f>SUM(Зарплата_Казанцева[[#Totals],[18]],Зарплата_Павленко[[#Totals],[18]],Зарплата_Яковлева[[#Totals],[18]],Зарплата_администратора[[#Totals],[18]])</f>
        <v>2300</v>
      </c>
      <c r="T46" s="62">
        <f>SUM(Зарплата_Казанцева[[#Totals],[19]],Зарплата_Павленко[[#Totals],[19]],Зарплата_Яковлева[[#Totals],[19]],Зарплата_администратора[[#Totals],[19]])</f>
        <v>1500</v>
      </c>
      <c r="U46" s="62">
        <f>SUM(Зарплата_Казанцева[[#Totals],[20]],Зарплата_Павленко[[#Totals],[20]],Зарплата_Яковлева[[#Totals],[20]],Зарплата_администратора[[#Totals],[20]])</f>
        <v>2400</v>
      </c>
      <c r="V46" s="62">
        <f>SUM(Зарплата_Казанцева[[#Totals],[21]],Зарплата_Павленко[[#Totals],[21]],Зарплата_Яковлева[[#Totals],[21]],Зарплата_администратора[[#Totals],[21]])</f>
        <v>700</v>
      </c>
      <c r="W46" s="62">
        <f>SUM(Зарплата_Казанцева[[#Totals],[22]],Зарплата_Павленко[[#Totals],[22]],Зарплата_Яковлева[[#Totals],[22]],Зарплата_администратора[[#Totals],[22]])</f>
        <v>4700</v>
      </c>
      <c r="X46" s="62">
        <f>SUM(Зарплата_Казанцева[[#Totals],[23]],Зарплата_Павленко[[#Totals],[23]],Зарплата_Яковлева[[#Totals],[23]],Зарплата_администратора[[#Totals],[23]])</f>
        <v>3300</v>
      </c>
      <c r="Y46" s="62">
        <f>SUM(Зарплата_Казанцева[[#Totals],[24]],Зарплата_Павленко[[#Totals],[24]],Зарплата_Яковлева[[#Totals],[24]],Зарплата_администратора[[#Totals],[24]])</f>
        <v>6600</v>
      </c>
      <c r="Z46" s="62">
        <f>SUM(Зарплата_Казанцева[[#Totals],[25]],Зарплата_Павленко[[#Totals],[25]],Зарплата_Яковлева[[#Totals],[25]],Зарплата_администратора[[#Totals],[25]])</f>
        <v>2300</v>
      </c>
      <c r="AA46" s="62">
        <f>SUM(Зарплата_Казанцева[[#Totals],[26]],Зарплата_Павленко[[#Totals],[26]],Зарплата_Яковлева[[#Totals],[26]],Зарплата_администратора[[#Totals],[26]])</f>
        <v>1500</v>
      </c>
      <c r="AB46" s="62">
        <f>SUM(Зарплата_Казанцева[[#Totals],[27]],Зарплата_Павленко[[#Totals],[27]],Зарплата_Яковлева[[#Totals],[27]],Зарплата_администратора[[#Totals],[27]])</f>
        <v>2500</v>
      </c>
      <c r="AC46" s="62">
        <f>SUM(Зарплата_Казанцева[[#Totals],[28]],Зарплата_Павленко[[#Totals],[28]],Зарплата_Яковлева[[#Totals],[28]],Зарплата_администратора[[#Totals],[28]])</f>
        <v>1500</v>
      </c>
      <c r="AD46" s="62">
        <f>SUM(Зарплата_Казанцева[[#Totals],[29]],Зарплата_Павленко[[#Totals],[29]],Зарплата_Яковлева[[#Totals],[29]],Зарплата_администратора[[#Totals],[29]])</f>
        <v>0</v>
      </c>
      <c r="AE46" s="62">
        <f>SUM(Зарплата_Казанцева[[#Totals],[30]],Зарплата_Павленко[[#Totals],[30]],Зарплата_Яковлева[[#Totals],[30]],Зарплата_администратора[[#Totals],[30]])</f>
        <v>0</v>
      </c>
      <c r="AF46" s="62">
        <f>SUM(Зарплата_Казанцева[[#Totals],[31]],Зарплата_Павленко[[#Totals],[31]],Зарплата_Яковлева[[#Totals],[31]],Зарплата_администратора[[#Totals],[31]])</f>
        <v>0</v>
      </c>
      <c r="AG46" s="62">
        <f>SUM(Зарплата_Казанцева[[#Totals],[Всего]],Зарплата_Павленко[[#Totals],[Всего]],Зарплата_Яковлева[[#Totals],[Всего]],Зарплата_администратора[[#Totals],[Всего]])</f>
        <v>92400</v>
      </c>
    </row>
    <row r="47" spans="1:35" x14ac:dyDescent="0.3">
      <c r="A47" s="76"/>
    </row>
    <row r="48" spans="1:35" x14ac:dyDescent="0.3">
      <c r="A48" s="52" t="s">
        <v>131</v>
      </c>
      <c r="B48" s="52" t="s">
        <v>132</v>
      </c>
      <c r="C48" s="52" t="s">
        <v>133</v>
      </c>
      <c r="D48" s="52" t="s">
        <v>3</v>
      </c>
      <c r="E48" s="52" t="s">
        <v>134</v>
      </c>
      <c r="F48" s="52" t="s">
        <v>8</v>
      </c>
    </row>
    <row r="49" spans="1:6" x14ac:dyDescent="0.3">
      <c r="A49" s="52" t="s">
        <v>10</v>
      </c>
      <c r="B49" s="52" t="s">
        <v>9</v>
      </c>
      <c r="C49" s="59">
        <v>24400</v>
      </c>
      <c r="D49" s="89"/>
      <c r="E49" s="59"/>
      <c r="F49" s="89"/>
    </row>
    <row r="50" spans="1:6" x14ac:dyDescent="0.3">
      <c r="A50" s="52" t="s">
        <v>72</v>
      </c>
      <c r="B50" s="52" t="s">
        <v>9</v>
      </c>
      <c r="C50" s="59">
        <v>9600</v>
      </c>
      <c r="D50" s="89"/>
      <c r="E50" s="59"/>
      <c r="F50" s="89"/>
    </row>
    <row r="51" spans="1:6" x14ac:dyDescent="0.3">
      <c r="A51" s="52" t="s">
        <v>56</v>
      </c>
      <c r="B51" s="52" t="s">
        <v>9</v>
      </c>
      <c r="C51" s="59">
        <v>38800</v>
      </c>
      <c r="D51" s="89"/>
      <c r="E51" s="59"/>
      <c r="F51" s="89"/>
    </row>
    <row r="52" spans="1:6" x14ac:dyDescent="0.3">
      <c r="A52" s="52" t="s">
        <v>76</v>
      </c>
      <c r="B52" s="52" t="s">
        <v>74</v>
      </c>
      <c r="C52" s="59">
        <v>18900</v>
      </c>
      <c r="D52" s="89"/>
      <c r="E52" s="59"/>
      <c r="F52" s="89"/>
    </row>
    <row r="53" spans="1:6" x14ac:dyDescent="0.3">
      <c r="A53" s="52" t="s">
        <v>10</v>
      </c>
      <c r="B53" s="52" t="s">
        <v>74</v>
      </c>
      <c r="C53" s="59">
        <v>700</v>
      </c>
      <c r="D53" s="89"/>
      <c r="E53" s="59"/>
      <c r="F53" s="89"/>
    </row>
  </sheetData>
  <dataValidations count="1">
    <dataValidation type="list" allowBlank="1" showInputMessage="1" showErrorMessage="1" sqref="A43:A44 A52:A53" xr:uid="{CF89C527-CAE6-40DA-83DD-5DEBD9BF2317}">
      <formula1>Администратор_наименования</formula1>
    </dataValidation>
  </dataValidation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27F46B-D780-40D2-A5DB-6DFC7979E10C}">
          <x14:formula1>
            <xm:f>Наименования!#REF!</xm:f>
          </x14:formula1>
          <xm:sqref>B49:B53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02DEB-C972-4031-A093-AC113F689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7</vt:i4>
      </vt:variant>
    </vt:vector>
  </HeadingPairs>
  <TitlesOfParts>
    <vt:vector size="16" baseType="lpstr">
      <vt:lpstr>Ученики</vt:lpstr>
      <vt:lpstr>Баланс</vt:lpstr>
      <vt:lpstr>Расходы</vt:lpstr>
      <vt:lpstr>Перерасчет</vt:lpstr>
      <vt:lpstr>Прочий доход</vt:lpstr>
      <vt:lpstr>Посещаемость</vt:lpstr>
      <vt:lpstr>Наименования</vt:lpstr>
      <vt:lpstr>Итог</vt:lpstr>
      <vt:lpstr>Зп</vt:lpstr>
      <vt:lpstr>Администратор_наименования</vt:lpstr>
      <vt:lpstr>Группы_наименования</vt:lpstr>
      <vt:lpstr>Доходы_наименования</vt:lpstr>
      <vt:lpstr>ожидаемая_ученики</vt:lpstr>
      <vt:lpstr>прибыль_ученики</vt:lpstr>
      <vt:lpstr>ФИО_ученики</vt:lpstr>
      <vt:lpstr>Хореограф_наименования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Хоран Евгений</cp:lastModifiedBy>
  <dcterms:created xsi:type="dcterms:W3CDTF">2021-01-26T19:05:07Z</dcterms:created>
  <dcterms:modified xsi:type="dcterms:W3CDTF">2022-08-09T09:52:38Z</dcterms:modified>
</cp:coreProperties>
</file>